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C6E4" lockStructure="1"/>
  <bookViews>
    <workbookView xWindow="0" yWindow="0" windowWidth="28800" windowHeight="12435"/>
  </bookViews>
  <sheets>
    <sheet name="Calculator" sheetId="1" r:id="rId1"/>
    <sheet name="Lists" sheetId="2" state="hidden" r:id="rId2"/>
    <sheet name="Sizing Factors" sheetId="4" state="hidden" r:id="rId3"/>
  </sheets>
  <definedNames>
    <definedName name="DrywellDepth">Lists!$H$2:$H$3</definedName>
    <definedName name="FCStandard">Lists!$C$2:$C$4</definedName>
    <definedName name="InfRate">Lists!$F$2:$F$6</definedName>
    <definedName name="InfRateLarge">Lists!$F$5:$F$6</definedName>
    <definedName name="InfTrenchDepth">Lists!$G$2:$G$3</definedName>
    <definedName name="PipeDiameter">Lists!$I$2:$I$3</definedName>
    <definedName name="Ponding">Lists!$E$2:$E$4</definedName>
    <definedName name="PondingVert">Lists!$E$3:$E$4</definedName>
    <definedName name="Project">Lists!$B$2:$B$2</definedName>
    <definedName name="Sideslopes">Lists!$D$2:$D$3</definedName>
    <definedName name="Standard">Calculator!$AE$6</definedName>
    <definedName name="VaultDepth">Lists!$J$2:$J$3</definedName>
    <definedName name="YesNo">Lists!$A$2:$A$3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7" i="1" l="1"/>
  <c r="Q117" i="1"/>
  <c r="Q64" i="1"/>
  <c r="Q46" i="1"/>
  <c r="AV28" i="1" l="1"/>
  <c r="C28" i="1" l="1"/>
  <c r="C27" i="1"/>
  <c r="AT28" i="1"/>
  <c r="AH26" i="1"/>
  <c r="AH24" i="1"/>
  <c r="AH20" i="1"/>
  <c r="AH18" i="1"/>
  <c r="BF137" i="1" l="1"/>
  <c r="BE137" i="1"/>
  <c r="BF140" i="1"/>
  <c r="BE140" i="1"/>
  <c r="BE104" i="1" l="1"/>
  <c r="C33" i="1" l="1"/>
  <c r="AV32" i="1"/>
  <c r="AT32" i="1"/>
  <c r="AN7" i="1"/>
  <c r="AH36" i="1"/>
  <c r="AV74" i="1" l="1"/>
  <c r="BI131" i="1" l="1"/>
  <c r="BI123" i="1"/>
  <c r="BI121" i="1"/>
  <c r="BI129" i="1"/>
  <c r="BI115" i="1"/>
  <c r="BI113" i="1"/>
  <c r="BI74" i="1"/>
  <c r="BI72" i="1"/>
  <c r="BI66" i="1"/>
  <c r="BI64" i="1"/>
  <c r="BI58" i="1"/>
  <c r="BI56" i="1"/>
  <c r="K298" i="4" l="1"/>
  <c r="K297" i="4"/>
  <c r="K296" i="4"/>
  <c r="K295" i="4"/>
  <c r="K294" i="4"/>
  <c r="K293" i="4"/>
  <c r="K292" i="4"/>
  <c r="K291" i="4"/>
  <c r="K290" i="4"/>
  <c r="K289" i="4"/>
  <c r="K288" i="4"/>
  <c r="K287" i="4"/>
  <c r="K286" i="4"/>
  <c r="K285" i="4"/>
  <c r="K284" i="4"/>
  <c r="K283" i="4"/>
  <c r="K279" i="4"/>
  <c r="K278" i="4"/>
  <c r="K277" i="4"/>
  <c r="K276" i="4"/>
  <c r="K275" i="4"/>
  <c r="K274" i="4"/>
  <c r="K270" i="4"/>
  <c r="K269" i="4"/>
  <c r="K268" i="4"/>
  <c r="K267" i="4"/>
  <c r="K263" i="4"/>
  <c r="K262" i="4"/>
  <c r="K261" i="4"/>
  <c r="K260" i="4"/>
  <c r="K259" i="4"/>
  <c r="K258" i="4"/>
  <c r="K257" i="4"/>
  <c r="K256" i="4"/>
  <c r="K255" i="4"/>
  <c r="K254" i="4"/>
  <c r="K253" i="4"/>
  <c r="K252" i="4"/>
  <c r="K251" i="4"/>
  <c r="K250" i="4"/>
  <c r="K249" i="4"/>
  <c r="K248" i="4"/>
  <c r="K247" i="4"/>
  <c r="K246" i="4"/>
  <c r="K245" i="4"/>
  <c r="K244" i="4"/>
  <c r="K240" i="4"/>
  <c r="K239" i="4"/>
  <c r="K238" i="4"/>
  <c r="K237" i="4"/>
  <c r="K236" i="4"/>
  <c r="K235" i="4"/>
  <c r="K234" i="4"/>
  <c r="K233" i="4"/>
  <c r="K232" i="4"/>
  <c r="K231" i="4"/>
  <c r="K230" i="4"/>
  <c r="K229" i="4"/>
  <c r="K228" i="4"/>
  <c r="K227" i="4"/>
  <c r="K226" i="4"/>
  <c r="K225" i="4"/>
  <c r="K224" i="4"/>
  <c r="K223" i="4"/>
  <c r="K222" i="4"/>
  <c r="K221" i="4"/>
  <c r="K220" i="4"/>
  <c r="BF129" i="1" s="1"/>
  <c r="K219" i="4"/>
  <c r="K218" i="4"/>
  <c r="K217" i="4"/>
  <c r="K213" i="4"/>
  <c r="K212" i="4"/>
  <c r="K208" i="4"/>
  <c r="K207" i="4"/>
  <c r="K206" i="4"/>
  <c r="K205" i="4"/>
  <c r="K204" i="4"/>
  <c r="K203" i="4"/>
  <c r="K199" i="4"/>
  <c r="K198" i="4"/>
  <c r="K197" i="4"/>
  <c r="K196" i="4"/>
  <c r="K195" i="4"/>
  <c r="K194" i="4"/>
  <c r="K193" i="4"/>
  <c r="K192" i="4"/>
  <c r="K191" i="4"/>
  <c r="K190" i="4"/>
  <c r="K189" i="4"/>
  <c r="K188" i="4"/>
  <c r="K187" i="4"/>
  <c r="K186" i="4"/>
  <c r="K185" i="4"/>
  <c r="K184" i="4"/>
  <c r="K183" i="4"/>
  <c r="K182" i="4"/>
  <c r="K181" i="4"/>
  <c r="K180" i="4"/>
  <c r="K179" i="4"/>
  <c r="K178" i="4"/>
  <c r="K177" i="4"/>
  <c r="K176" i="4"/>
  <c r="K175" i="4"/>
  <c r="K174" i="4"/>
  <c r="K173" i="4"/>
  <c r="K172" i="4"/>
  <c r="K171" i="4"/>
  <c r="K170" i="4"/>
  <c r="K169" i="4"/>
  <c r="K168" i="4"/>
  <c r="K167" i="4"/>
  <c r="K166" i="4"/>
  <c r="K165" i="4"/>
  <c r="K164" i="4"/>
  <c r="K163" i="4"/>
  <c r="K162" i="4"/>
  <c r="K161" i="4"/>
  <c r="K160" i="4"/>
  <c r="K156" i="4"/>
  <c r="K155" i="4"/>
  <c r="K154" i="4"/>
  <c r="K153" i="4"/>
  <c r="K152" i="4"/>
  <c r="K151" i="4"/>
  <c r="K150" i="4"/>
  <c r="K149" i="4"/>
  <c r="K148" i="4"/>
  <c r="K147" i="4"/>
  <c r="K146" i="4"/>
  <c r="K145" i="4"/>
  <c r="K141" i="4"/>
  <c r="K140" i="4"/>
  <c r="K139" i="4"/>
  <c r="K138" i="4"/>
  <c r="K137" i="4"/>
  <c r="K136" i="4"/>
  <c r="K135" i="4"/>
  <c r="K134" i="4"/>
  <c r="K133" i="4"/>
  <c r="K132" i="4"/>
  <c r="K131" i="4"/>
  <c r="K130" i="4"/>
  <c r="K129" i="4"/>
  <c r="K128" i="4"/>
  <c r="K127" i="4"/>
  <c r="K126"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K6" i="4"/>
  <c r="K5" i="4"/>
  <c r="K4" i="4"/>
  <c r="K3" i="4"/>
  <c r="BD133" i="1"/>
  <c r="BD125" i="1"/>
  <c r="BF123" i="1"/>
  <c r="BD117" i="1"/>
  <c r="BE113" i="1"/>
  <c r="BD109" i="1"/>
  <c r="AT100" i="1"/>
  <c r="BD98" i="1"/>
  <c r="AT92" i="1"/>
  <c r="BD90" i="1"/>
  <c r="BF92" i="1" s="1"/>
  <c r="AT88" i="1"/>
  <c r="AT86" i="1"/>
  <c r="BD84" i="1"/>
  <c r="BE72" i="1"/>
  <c r="BD68" i="1"/>
  <c r="BD60" i="1"/>
  <c r="Z54" i="1"/>
  <c r="AH56" i="1" s="1"/>
  <c r="BD52" i="1"/>
  <c r="BF46" i="1"/>
  <c r="BD42" i="1"/>
  <c r="AV36" i="1"/>
  <c r="AT36" i="1"/>
  <c r="BF58" i="1" l="1"/>
  <c r="BE121" i="1"/>
  <c r="BF72" i="1"/>
  <c r="BG72" i="1" s="1"/>
  <c r="BF74" i="1"/>
  <c r="BE102" i="1"/>
  <c r="BF115" i="1"/>
  <c r="BE64" i="1"/>
  <c r="BE66" i="1"/>
  <c r="BE46" i="1"/>
  <c r="BE56" i="1"/>
  <c r="BF88" i="1"/>
  <c r="BF102" i="1"/>
  <c r="BF113" i="1"/>
  <c r="BG113" i="1" s="1"/>
  <c r="BE123" i="1"/>
  <c r="BH123" i="1" s="1"/>
  <c r="BE131" i="1"/>
  <c r="BF131" i="1"/>
  <c r="BF48" i="1"/>
  <c r="BE58" i="1"/>
  <c r="BF64" i="1"/>
  <c r="BG64" i="1" s="1"/>
  <c r="BE48" i="1"/>
  <c r="BF56" i="1"/>
  <c r="BF66" i="1"/>
  <c r="BE74" i="1"/>
  <c r="BF104" i="1"/>
  <c r="BE115" i="1"/>
  <c r="BF121" i="1"/>
  <c r="BG121" i="1" s="1"/>
  <c r="BE129" i="1"/>
  <c r="BI140" i="1"/>
  <c r="BI137" i="1"/>
  <c r="BI104" i="1"/>
  <c r="BI48" i="1"/>
  <c r="BI102" i="1"/>
  <c r="BI46" i="1"/>
  <c r="BG137" i="1"/>
  <c r="BE92" i="1"/>
  <c r="AV92" i="1" s="1"/>
  <c r="BE86" i="1"/>
  <c r="BE88" i="1"/>
  <c r="AV88" i="1" s="1"/>
  <c r="BF86" i="1"/>
  <c r="BH104" i="1" l="1"/>
  <c r="Q102" i="1"/>
  <c r="Q131" i="1"/>
  <c r="Q125" i="1"/>
  <c r="BH64" i="1"/>
  <c r="BH46" i="1"/>
  <c r="BH131" i="1"/>
  <c r="BG115" i="1"/>
  <c r="BH113" i="1"/>
  <c r="BH58" i="1"/>
  <c r="BG66" i="1"/>
  <c r="BH66" i="1"/>
  <c r="AV62" i="1" s="1"/>
  <c r="BH115" i="1"/>
  <c r="AV115" i="1" s="1"/>
  <c r="BG56" i="1"/>
  <c r="BH137" i="1"/>
  <c r="BH140" i="1"/>
  <c r="BG140" i="1"/>
  <c r="BG129" i="1"/>
  <c r="BH129" i="1"/>
  <c r="BG123" i="1"/>
  <c r="BG102" i="1"/>
  <c r="BG74" i="1"/>
  <c r="AH68" i="1" s="1"/>
  <c r="Y70" i="1" s="1"/>
  <c r="BH72" i="1"/>
  <c r="AV70" i="1" s="1"/>
  <c r="BG104" i="1"/>
  <c r="AH86" i="1"/>
  <c r="BH74" i="1"/>
  <c r="Q72" i="1" s="1"/>
  <c r="AH88" i="1"/>
  <c r="BG131" i="1"/>
  <c r="AH92" i="1"/>
  <c r="BG48" i="1"/>
  <c r="BG58" i="1"/>
  <c r="BG46" i="1"/>
  <c r="BH48" i="1"/>
  <c r="BH102" i="1"/>
  <c r="AV100" i="1" s="1"/>
  <c r="BH56" i="1"/>
  <c r="BH121" i="1"/>
  <c r="AV86" i="1"/>
  <c r="AH133" i="1" l="1"/>
  <c r="AH113" i="1"/>
  <c r="AH60" i="1"/>
  <c r="AF62" i="1" s="1"/>
  <c r="AV44" i="1"/>
  <c r="AH96" i="1"/>
  <c r="AF100" i="1" s="1"/>
  <c r="AH121" i="1"/>
  <c r="AV135" i="1"/>
  <c r="AV129" i="1"/>
  <c r="AH127" i="1"/>
  <c r="AF129" i="1" s="1"/>
  <c r="AH52" i="1"/>
  <c r="AF54" i="1" s="1"/>
  <c r="AV123" i="1"/>
  <c r="AV54" i="1"/>
  <c r="AH41" i="1"/>
  <c r="AF44" i="1" s="1"/>
  <c r="AF70" i="1"/>
  <c r="AU107" i="1" l="1"/>
  <c r="Y135" i="1"/>
  <c r="AF135" i="1"/>
  <c r="AT135" i="1" s="1"/>
  <c r="AF123" i="1"/>
  <c r="Y123" i="1" s="1"/>
  <c r="Y115" i="1"/>
  <c r="AF115" i="1"/>
  <c r="Y62" i="1"/>
  <c r="AU140" i="1"/>
  <c r="AT129" i="1"/>
  <c r="Y54" i="1"/>
  <c r="Y44" i="1"/>
  <c r="AT123" i="1" l="1"/>
  <c r="AU145" i="1"/>
  <c r="AE12" i="1" s="1"/>
  <c r="AU143" i="1"/>
  <c r="Y129" i="1"/>
</calcChain>
</file>

<file path=xl/sharedStrings.xml><?xml version="1.0" encoding="utf-8"?>
<sst xmlns="http://schemas.openxmlformats.org/spreadsheetml/2006/main" count="1384" uniqueCount="154">
  <si>
    <t>Project Type</t>
  </si>
  <si>
    <t>Flow Control Standard(s)</t>
  </si>
  <si>
    <t>Site has ≥ 35% Existing Hard Surface</t>
  </si>
  <si>
    <t>New Plus Replaced Hard Surface Area</t>
  </si>
  <si>
    <t>Yes/No</t>
  </si>
  <si>
    <t>No</t>
  </si>
  <si>
    <t>Yes</t>
  </si>
  <si>
    <t>sf</t>
  </si>
  <si>
    <t>Parcel</t>
  </si>
  <si>
    <t>Pre-developed Pasture Standard</t>
  </si>
  <si>
    <t>Flow Control Standard</t>
  </si>
  <si>
    <t>Retained Trees</t>
  </si>
  <si>
    <t>New Evergreen</t>
  </si>
  <si>
    <t>New Deciduous</t>
  </si>
  <si>
    <t>Dispersion</t>
  </si>
  <si>
    <t>Facility Size</t>
  </si>
  <si>
    <t>Credit</t>
  </si>
  <si>
    <t>Area Managed</t>
  </si>
  <si>
    <t>New Trees</t>
  </si>
  <si>
    <t>No. Trees</t>
  </si>
  <si>
    <t xml:space="preserve">Total Canopy Area </t>
  </si>
  <si>
    <t>On-site Infiltration and Reuse Facilities</t>
  </si>
  <si>
    <t>Sizing Factor / Equation</t>
  </si>
  <si>
    <t>Contributing Area</t>
  </si>
  <si>
    <t>Ponding Depth</t>
  </si>
  <si>
    <t>Permeable Pavement Facility</t>
  </si>
  <si>
    <t>Infiltrating Facilities</t>
  </si>
  <si>
    <t>Reuse Facilities</t>
  </si>
  <si>
    <t>Rainwater Harvesting</t>
  </si>
  <si>
    <t>Alternative Pavement Surfaces</t>
  </si>
  <si>
    <t>Alternative Roof Surfaces</t>
  </si>
  <si>
    <t>On-site Impervious Surface Reduction Method</t>
  </si>
  <si>
    <t>On-site Non-Infiltrating Facilities</t>
  </si>
  <si>
    <t>Non Infiltrating Facilities</t>
  </si>
  <si>
    <t>Traditional Facilities</t>
  </si>
  <si>
    <t>Infiltration Chamber</t>
  </si>
  <si>
    <t>Infiltration Trench</t>
  </si>
  <si>
    <t>Trench Depth</t>
  </si>
  <si>
    <t>Well Depth</t>
  </si>
  <si>
    <t>Detention Facilities</t>
  </si>
  <si>
    <t>Detention Pipe</t>
  </si>
  <si>
    <t>Detention Vault</t>
  </si>
  <si>
    <t>Detention Cistern</t>
  </si>
  <si>
    <t>Total Area Managed</t>
  </si>
  <si>
    <t>Notes</t>
  </si>
  <si>
    <t>sf - square feet</t>
  </si>
  <si>
    <t>in - inch</t>
  </si>
  <si>
    <t>ft - feet</t>
  </si>
  <si>
    <t>in/hr - inch per hour</t>
  </si>
  <si>
    <t>Dispersed Impervious Area</t>
  </si>
  <si>
    <t>x</t>
  </si>
  <si>
    <t>Bioretention Bottom Area</t>
  </si>
  <si>
    <t>in</t>
  </si>
  <si>
    <t>in/hr</t>
  </si>
  <si>
    <t>ft</t>
  </si>
  <si>
    <t>Trench Length</t>
  </si>
  <si>
    <t>Trench Width</t>
  </si>
  <si>
    <t>Trench Area</t>
  </si>
  <si>
    <t>inf - infiltration</t>
  </si>
  <si>
    <t>Drywell Area</t>
  </si>
  <si>
    <t>Permeable Pavement Area</t>
  </si>
  <si>
    <t>Applicant must provide documentation of management</t>
  </si>
  <si>
    <t>Vegetated Roof System</t>
  </si>
  <si>
    <t>Vegetated Roof Area</t>
  </si>
  <si>
    <t>Sideslopes</t>
  </si>
  <si>
    <t>Vertical</t>
  </si>
  <si>
    <t>2.5H:1V</t>
  </si>
  <si>
    <t>Chamber Bottom Area</t>
  </si>
  <si>
    <t>Pipe Diameter</t>
  </si>
  <si>
    <t>Detention Pipe Length</t>
  </si>
  <si>
    <t>Max head above orifice</t>
  </si>
  <si>
    <t>Vault area</t>
  </si>
  <si>
    <t>Cistern area</t>
  </si>
  <si>
    <t>min - minimum</t>
  </si>
  <si>
    <t>Permeable Pavement Surface</t>
  </si>
  <si>
    <t>Subgrade Slope ≤ 2%</t>
  </si>
  <si>
    <t>Subgrade Slope &gt; 2%</t>
  </si>
  <si>
    <t>Flow Control Standard(s) Achieved?</t>
  </si>
  <si>
    <t>Flow Control Standard(s) Achieved</t>
  </si>
  <si>
    <t>BMP</t>
  </si>
  <si>
    <t>Native Soil Design 
Infiltration Rate
(inch/hour)</t>
  </si>
  <si>
    <t>NA</t>
  </si>
  <si>
    <t>Peak Control Standard</t>
  </si>
  <si>
    <t>Water Quality Treatment</t>
  </si>
  <si>
    <t>Coefficient</t>
  </si>
  <si>
    <t>Constant</t>
  </si>
  <si>
    <t>Ponding depth and infiltration rate combination do not achieve drawdown requirements.</t>
  </si>
  <si>
    <t>NA Note</t>
  </si>
  <si>
    <t>Infiltration Rate</t>
  </si>
  <si>
    <t>Factor/Equation</t>
  </si>
  <si>
    <t>Standard</t>
  </si>
  <si>
    <t>Lookup</t>
  </si>
  <si>
    <t>Error</t>
  </si>
  <si>
    <t xml:space="preserve"> </t>
  </si>
  <si>
    <t>Infiltration Trench Depth</t>
  </si>
  <si>
    <t>Trench Depth (ft)</t>
  </si>
  <si>
    <t>Ponding Depth (inch)</t>
  </si>
  <si>
    <t>Subgrade Soil Design 
Infiltration Rate
(inch/hour)</t>
  </si>
  <si>
    <t>Drywell</t>
  </si>
  <si>
    <t>DrywellDepth</t>
  </si>
  <si>
    <t>Ponding Depth in Storage Reservoir (inch)</t>
  </si>
  <si>
    <t>The minimum sizing factor is 20 percent because the contributing area to a facility is limited to 5 times the permeable pavement facility area.</t>
  </si>
  <si>
    <t>&gt;2</t>
  </si>
  <si>
    <t>Permeable pavement surface meets the peak flow standard (i.e., achieves a 100% credit) if the aggregate subbase depth is increased to 3.5 inches.</t>
  </si>
  <si>
    <t>&lt;2</t>
  </si>
  <si>
    <t>Subgrade Slope</t>
  </si>
  <si>
    <t>Table 5.26. Pre-Sized Sizing Factors and Equations for Infiltration Chambers.</t>
  </si>
  <si>
    <t>Table 5.40. Pre-sized Sizing Equations for Detention Vaults.</t>
  </si>
  <si>
    <t>Table 5.38. Pre-sized Sizing Equations for Detention Pipe.</t>
  </si>
  <si>
    <t>Detention Pipe Diameter (inch)</t>
  </si>
  <si>
    <t>Constant / Power</t>
  </si>
  <si>
    <t>Detention Pipe Diameter</t>
  </si>
  <si>
    <t>Detention Depth (feet)</t>
  </si>
  <si>
    <t>Vault Depth</t>
  </si>
  <si>
    <t>Table 5.42. Pre-Sized Sizing Factors and Equations for Aboveground Detention Cisterns.</t>
  </si>
  <si>
    <t>Retained Evergreen</t>
  </si>
  <si>
    <t>Retained Deciduous</t>
  </si>
  <si>
    <t>No.</t>
  </si>
  <si>
    <t>no. - number</t>
  </si>
  <si>
    <t>Sizing factors not provided for 2-inch ponding and vertical sideslopes</t>
  </si>
  <si>
    <t>Facility is not capable of achieving the Pre-developed Pasture Standard unless orifice controls are used.</t>
  </si>
  <si>
    <t>Table 5.19. Pre-sized Sizing Factors and Equations for Infiltrating Bioretention without Underdrains.</t>
  </si>
  <si>
    <t>Table 5.12. Pre-Sized Sizing Factors and Equations for Infiltration Trenches.</t>
  </si>
  <si>
    <t>Table 5.15. Pre-Sized Sizing Factors and Equations for Drywells.</t>
  </si>
  <si>
    <t>Table 5.24. Pre-sized Sizing Factors and Equations for Permeable Pavement Facilities without Underdrains.</t>
  </si>
  <si>
    <t>Table 5.34. Pre-sized Flow Control Credits for Permeable Pavement Surfaces without Check Dams.</t>
  </si>
  <si>
    <t>Table 5.32. Pre-sized Flow Control Credits for Vegetated Roofs.</t>
  </si>
  <si>
    <t>Table 5.45. Pre-Sized Sizing Factors and Equations for Non-infiltrating Bioretention.</t>
  </si>
  <si>
    <t>power</t>
  </si>
  <si>
    <t>constant</t>
  </si>
  <si>
    <t>Note</t>
  </si>
  <si>
    <t>=</t>
  </si>
  <si>
    <t>Sizing factors not provided for Peak Control Standard</t>
  </si>
  <si>
    <t>Error/Note</t>
  </si>
  <si>
    <t>Minimum Contributing Area (sf) &gt;</t>
  </si>
  <si>
    <t>Maximum Contributing Area (sf) ≤</t>
  </si>
  <si>
    <t>Facility is not capable of achieving the Peak Flow Control Standard unless orifice controls are used.</t>
  </si>
  <si>
    <t>ContributingArea Managed by On-Site Facilities</t>
  </si>
  <si>
    <t>Contributing Area Managed by Traditional Facilities</t>
  </si>
  <si>
    <t>On-site Runoff Reduction Methods</t>
  </si>
  <si>
    <t>Bioretention without Underdrain</t>
  </si>
  <si>
    <t>Full Dispersion</t>
  </si>
  <si>
    <t>Fully Dispersed Impervious Area</t>
  </si>
  <si>
    <t>Downspout, Sheet Flow, or Concentrated Flow Dispersion</t>
  </si>
  <si>
    <t>Pre-developed Pasture and Peak Control Standards</t>
  </si>
  <si>
    <t>Bioretention with Underdrain</t>
  </si>
  <si>
    <t>Sizing Factor</t>
  </si>
  <si>
    <t>Total Area Mitigated by Trees</t>
  </si>
  <si>
    <t>Draft City of Seattle</t>
  </si>
  <si>
    <t>Design Inf Rate*</t>
  </si>
  <si>
    <t>To meet the Pasture Standard reduce the head to at least 3 feet</t>
  </si>
  <si>
    <t xml:space="preserve"> Pre-Sized FLOW CONTROL Calculator</t>
  </si>
  <si>
    <t>* Round up the design infiltration rate determined by the infiltration test to the nearest infiltration rate in the drop down menu.</t>
  </si>
  <si>
    <t>The facility size shall not be significantly larger (i.e., area shall not be more than 25 percent larger) than prescribed by the sizing factor because flow control performance may be diminished for larger facilities (larger facilities will not pond water sufficiently to slow flows).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</si>
</sst>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b/>
      <u/>
      <sz val="9"/>
      <color theme="1"/>
      <name val="Calibri"/>
      <family val="2"/>
      <scheme val="minor"/>
    </font>
    <font>
      <b/>
      <sz val="8"/>
      <color theme="1"/>
      <name val="Calibri"/>
      <family val="2"/>
      <scheme val="minor"/>
    </font>
    <font>
      <b/>
      <sz val="11"/>
      <name val="Calibri"/>
      <family val="2"/>
      <scheme val="minor"/>
    </font>
    <font>
      <sz val="10"/>
      <name val="Arial"/>
      <family val="2"/>
    </font>
    <font>
      <sz val="11"/>
      <name val="Calibri"/>
      <family val="2"/>
      <scheme val="minor"/>
    </font>
    <font>
      <sz val="9"/>
      <color rgb="FFFF0000"/>
      <name val="Calibri"/>
      <family val="2"/>
      <scheme val="minor"/>
    </font>
    <font>
      <sz val="8"/>
      <color rgb="FFFF5050"/>
      <name val="Calibri"/>
      <family val="2"/>
      <scheme val="minor"/>
    </font>
    <font>
      <b/>
      <sz val="9"/>
      <color rgb="FFFF0000"/>
      <name val="Calibri"/>
      <family val="2"/>
      <scheme val="minor"/>
    </font>
    <font>
      <sz val="8"/>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9" fillId="0" borderId="0"/>
    <xf numFmtId="43" fontId="1" fillId="0" borderId="0" applyFont="0" applyFill="0" applyBorder="0" applyAlignment="0" applyProtection="0"/>
  </cellStyleXfs>
  <cellXfs count="147">
    <xf numFmtId="0" fontId="0" fillId="0" borderId="0" xfId="0"/>
    <xf numFmtId="0" fontId="3" fillId="2" borderId="0" xfId="0" applyFont="1" applyFill="1" applyBorder="1" applyAlignment="1">
      <alignment horizontal="left"/>
    </xf>
    <xf numFmtId="0" fontId="5" fillId="0" borderId="0" xfId="0" applyFont="1" applyFill="1"/>
    <xf numFmtId="0" fontId="5" fillId="2" borderId="1" xfId="0" applyFont="1" applyFill="1" applyBorder="1"/>
    <xf numFmtId="0" fontId="5" fillId="2" borderId="2" xfId="0" applyFont="1" applyFill="1" applyBorder="1"/>
    <xf numFmtId="0" fontId="5" fillId="2" borderId="3" xfId="0" applyFont="1" applyFill="1" applyBorder="1"/>
    <xf numFmtId="0" fontId="5" fillId="2" borderId="7" xfId="0" applyFont="1" applyFill="1" applyBorder="1"/>
    <xf numFmtId="0" fontId="5" fillId="2" borderId="0" xfId="0" applyFont="1" applyFill="1" applyBorder="1"/>
    <xf numFmtId="0" fontId="5" fillId="2" borderId="8" xfId="0" applyFont="1" applyFill="1" applyBorder="1"/>
    <xf numFmtId="0" fontId="5" fillId="2" borderId="0" xfId="0" applyFont="1" applyFill="1" applyBorder="1" applyAlignment="1">
      <alignment horizontal="left"/>
    </xf>
    <xf numFmtId="0" fontId="5" fillId="2" borderId="4" xfId="0" applyFont="1" applyFill="1" applyBorder="1"/>
    <xf numFmtId="0" fontId="5" fillId="2" borderId="5" xfId="0" applyFont="1" applyFill="1" applyBorder="1"/>
    <xf numFmtId="0" fontId="5" fillId="2" borderId="6" xfId="0" applyFont="1" applyFill="1" applyBorder="1"/>
    <xf numFmtId="0" fontId="6" fillId="2" borderId="0" xfId="0" applyFont="1" applyFill="1" applyBorder="1"/>
    <xf numFmtId="0" fontId="4" fillId="2" borderId="0" xfId="0" applyFont="1" applyFill="1" applyBorder="1"/>
    <xf numFmtId="0" fontId="5" fillId="2" borderId="0" xfId="0" applyFont="1" applyFill="1"/>
    <xf numFmtId="0" fontId="5" fillId="2" borderId="0" xfId="0" applyFont="1" applyFill="1" applyBorder="1" applyAlignment="1">
      <alignment horizontal="right"/>
    </xf>
    <xf numFmtId="0" fontId="5" fillId="2" borderId="0" xfId="0" applyFont="1" applyFill="1" applyBorder="1" applyAlignment="1">
      <alignment horizontal="center"/>
    </xf>
    <xf numFmtId="0" fontId="4" fillId="2" borderId="5" xfId="0" applyFont="1" applyFill="1" applyBorder="1"/>
    <xf numFmtId="0" fontId="5" fillId="2" borderId="0" xfId="0" applyFont="1" applyFill="1" applyBorder="1" applyAlignment="1"/>
    <xf numFmtId="0" fontId="5" fillId="0" borderId="0" xfId="0" applyFont="1"/>
    <xf numFmtId="0" fontId="3" fillId="2" borderId="7" xfId="0" applyFont="1" applyFill="1" applyBorder="1"/>
    <xf numFmtId="0" fontId="3" fillId="2" borderId="0" xfId="0" applyFont="1" applyFill="1" applyBorder="1"/>
    <xf numFmtId="0" fontId="7" fillId="2" borderId="0" xfId="0" applyFont="1" applyFill="1" applyBorder="1"/>
    <xf numFmtId="0" fontId="3" fillId="2" borderId="0" xfId="0" applyFont="1" applyFill="1" applyBorder="1" applyAlignment="1">
      <alignment horizontal="right"/>
    </xf>
    <xf numFmtId="0" fontId="3" fillId="2" borderId="0" xfId="0" applyFont="1" applyFill="1"/>
    <xf numFmtId="0" fontId="3" fillId="2" borderId="0" xfId="0" applyFont="1" applyFill="1" applyBorder="1" applyAlignment="1">
      <alignment horizontal="center"/>
    </xf>
    <xf numFmtId="0" fontId="3" fillId="2" borderId="8" xfId="0" applyFont="1" applyFill="1" applyBorder="1"/>
    <xf numFmtId="0" fontId="3" fillId="0" borderId="0" xfId="0" applyFont="1" applyFill="1"/>
    <xf numFmtId="0" fontId="3" fillId="0" borderId="0" xfId="0" applyFont="1"/>
    <xf numFmtId="0" fontId="4" fillId="2" borderId="2" xfId="0" applyFont="1" applyFill="1" applyBorder="1"/>
    <xf numFmtId="0" fontId="10" fillId="0" borderId="0" xfId="0" applyFont="1" applyFill="1" applyBorder="1" applyAlignment="1">
      <alignment horizontal="left" vertical="center"/>
    </xf>
    <xf numFmtId="0" fontId="10" fillId="0" borderId="0" xfId="0" applyFont="1" applyFill="1" applyBorder="1" applyAlignment="1">
      <alignment vertical="center"/>
    </xf>
    <xf numFmtId="164" fontId="10" fillId="0" borderId="0" xfId="0" applyNumberFormat="1" applyFont="1" applyFill="1" applyBorder="1" applyAlignment="1">
      <alignment vertical="center"/>
    </xf>
    <xf numFmtId="0" fontId="10" fillId="0" borderId="0" xfId="0" applyFont="1" applyFill="1" applyBorder="1" applyAlignment="1">
      <alignment vertical="center" wrapText="1"/>
    </xf>
    <xf numFmtId="0" fontId="0" fillId="0" borderId="0" xfId="0" applyBorder="1"/>
    <xf numFmtId="0" fontId="0" fillId="0" borderId="0" xfId="0" applyBorder="1" applyAlignment="1">
      <alignment horizontal="left"/>
    </xf>
    <xf numFmtId="0" fontId="0" fillId="0" borderId="0" xfId="0" applyFill="1" applyBorder="1"/>
    <xf numFmtId="0" fontId="0" fillId="0" borderId="0" xfId="0" applyNumberFormat="1" applyBorder="1" applyAlignment="1">
      <alignment horizontal="center"/>
    </xf>
    <xf numFmtId="0" fontId="0" fillId="0" borderId="0" xfId="0" applyNumberFormat="1" applyFill="1" applyBorder="1" applyAlignment="1">
      <alignment horizontal="center"/>
    </xf>
    <xf numFmtId="0" fontId="0" fillId="0" borderId="0" xfId="1" applyNumberFormat="1" applyFont="1" applyBorder="1" applyAlignment="1">
      <alignment horizontal="center"/>
    </xf>
    <xf numFmtId="10" fontId="10" fillId="0" borderId="0" xfId="1" quotePrefix="1" applyNumberFormat="1" applyFont="1" applyFill="1" applyBorder="1" applyAlignment="1">
      <alignment horizontal="center" vertical="center"/>
    </xf>
    <xf numFmtId="0" fontId="0" fillId="0" borderId="0" xfId="0" applyBorder="1" applyAlignment="1">
      <alignment horizontal="center"/>
    </xf>
    <xf numFmtId="0" fontId="10" fillId="0" borderId="0" xfId="1" applyNumberFormat="1" applyFont="1" applyFill="1" applyBorder="1" applyAlignment="1">
      <alignment horizontal="center" vertical="center"/>
    </xf>
    <xf numFmtId="0" fontId="0" fillId="0" borderId="0" xfId="0" applyFill="1" applyBorder="1" applyAlignment="1">
      <alignment horizontal="center"/>
    </xf>
    <xf numFmtId="0" fontId="10" fillId="0" borderId="5" xfId="0" applyFont="1" applyFill="1" applyBorder="1" applyAlignment="1">
      <alignment vertical="center" wrapText="1"/>
    </xf>
    <xf numFmtId="164" fontId="10" fillId="0" borderId="5" xfId="0" applyNumberFormat="1" applyFont="1" applyFill="1" applyBorder="1" applyAlignment="1">
      <alignment vertical="center"/>
    </xf>
    <xf numFmtId="0" fontId="0" fillId="0" borderId="5" xfId="0" applyBorder="1" applyAlignment="1">
      <alignment horizontal="left"/>
    </xf>
    <xf numFmtId="0" fontId="10" fillId="0" borderId="5" xfId="0" applyFont="1" applyFill="1" applyBorder="1" applyAlignment="1">
      <alignment horizontal="left" vertical="center"/>
    </xf>
    <xf numFmtId="0" fontId="0" fillId="0" borderId="5" xfId="0" applyBorder="1" applyAlignment="1">
      <alignment horizontal="center"/>
    </xf>
    <xf numFmtId="0" fontId="0" fillId="0" borderId="5" xfId="0" applyFill="1" applyBorder="1" applyAlignment="1">
      <alignment horizontal="center"/>
    </xf>
    <xf numFmtId="0" fontId="10" fillId="0" borderId="5" xfId="0" applyFont="1" applyFill="1" applyBorder="1" applyAlignment="1">
      <alignment vertical="center"/>
    </xf>
    <xf numFmtId="10" fontId="10" fillId="0" borderId="5" xfId="1" quotePrefix="1" applyNumberFormat="1" applyFont="1" applyFill="1" applyBorder="1" applyAlignment="1">
      <alignment horizontal="center" vertical="center"/>
    </xf>
    <xf numFmtId="0" fontId="0" fillId="0" borderId="5" xfId="0" applyBorder="1"/>
    <xf numFmtId="0" fontId="0" fillId="0" borderId="5" xfId="1" applyNumberFormat="1" applyFont="1" applyBorder="1" applyAlignment="1">
      <alignment horizontal="center"/>
    </xf>
    <xf numFmtId="0" fontId="0" fillId="0" borderId="5" xfId="0" applyNumberFormat="1" applyFill="1" applyBorder="1" applyAlignment="1">
      <alignment horizontal="center"/>
    </xf>
    <xf numFmtId="0" fontId="8" fillId="0" borderId="5" xfId="0" applyFont="1" applyFill="1" applyBorder="1" applyAlignment="1">
      <alignment horizontal="center" wrapText="1"/>
    </xf>
    <xf numFmtId="9" fontId="3" fillId="2" borderId="0" xfId="1" applyFont="1" applyFill="1" applyBorder="1" applyAlignment="1">
      <alignment wrapText="1"/>
    </xf>
    <xf numFmtId="0" fontId="4" fillId="0" borderId="0" xfId="0" applyFont="1" applyFill="1"/>
    <xf numFmtId="0" fontId="3" fillId="0" borderId="0" xfId="0" applyFont="1" applyFill="1" applyAlignment="1">
      <alignment horizontal="center"/>
    </xf>
    <xf numFmtId="3" fontId="3" fillId="0" borderId="0" xfId="3" applyNumberFormat="1" applyFont="1" applyFill="1" applyAlignment="1">
      <alignment horizontal="center"/>
    </xf>
    <xf numFmtId="0" fontId="0" fillId="0" borderId="2" xfId="0" applyBorder="1"/>
    <xf numFmtId="0" fontId="0" fillId="0" borderId="2" xfId="0" applyFill="1" applyBorder="1"/>
    <xf numFmtId="0" fontId="10" fillId="0" borderId="2" xfId="0" applyFont="1" applyFill="1" applyBorder="1" applyAlignment="1">
      <alignment vertical="center"/>
    </xf>
    <xf numFmtId="0" fontId="0" fillId="0" borderId="2" xfId="0" applyBorder="1" applyAlignment="1">
      <alignment horizontal="left"/>
    </xf>
    <xf numFmtId="0" fontId="10" fillId="0" borderId="2" xfId="0" applyFont="1" applyFill="1" applyBorder="1" applyAlignment="1">
      <alignment horizontal="left" vertical="center"/>
    </xf>
    <xf numFmtId="0" fontId="0" fillId="0" borderId="2" xfId="0" applyBorder="1" applyAlignment="1">
      <alignment horizontal="center"/>
    </xf>
    <xf numFmtId="0" fontId="0" fillId="0" borderId="5" xfId="0" applyFill="1" applyBorder="1"/>
    <xf numFmtId="0" fontId="3" fillId="0" borderId="0" xfId="0" applyFont="1" applyFill="1" applyAlignment="1">
      <alignment horizontal="left"/>
    </xf>
    <xf numFmtId="0" fontId="10" fillId="0" borderId="2" xfId="0" applyFont="1" applyFill="1" applyBorder="1" applyAlignment="1">
      <alignment vertical="center" wrapText="1"/>
    </xf>
    <xf numFmtId="9" fontId="3" fillId="2" borderId="0" xfId="1" applyFont="1" applyFill="1" applyBorder="1" applyAlignment="1">
      <alignment horizontal="center"/>
    </xf>
    <xf numFmtId="0" fontId="8" fillId="0" borderId="9" xfId="0" applyFont="1" applyFill="1" applyBorder="1" applyAlignment="1">
      <alignment horizontal="center" wrapText="1"/>
    </xf>
    <xf numFmtId="0" fontId="0" fillId="0" borderId="9" xfId="0" applyBorder="1"/>
    <xf numFmtId="0" fontId="2" fillId="0" borderId="5" xfId="0" applyFont="1" applyBorder="1"/>
    <xf numFmtId="0" fontId="2" fillId="0" borderId="0" xfId="0" applyFont="1" applyFill="1" applyBorder="1"/>
    <xf numFmtId="0" fontId="2" fillId="0" borderId="0" xfId="0" applyFont="1" applyBorder="1"/>
    <xf numFmtId="0" fontId="5" fillId="2" borderId="0" xfId="0" applyFont="1" applyFill="1" applyAlignment="1">
      <alignment horizontal="left"/>
    </xf>
    <xf numFmtId="0" fontId="3" fillId="2" borderId="0" xfId="0" applyFont="1" applyFill="1" applyBorder="1" applyAlignment="1">
      <alignment horizontal="center"/>
    </xf>
    <xf numFmtId="0" fontId="3" fillId="2" borderId="0" xfId="0" applyFont="1" applyFill="1" applyBorder="1" applyAlignment="1">
      <alignment horizontal="center"/>
    </xf>
    <xf numFmtId="0" fontId="11" fillId="0" borderId="0" xfId="0" applyFont="1" applyFill="1"/>
    <xf numFmtId="0" fontId="3" fillId="2" borderId="0" xfId="0" applyFont="1" applyFill="1" applyBorder="1" applyAlignment="1">
      <alignment horizontal="center"/>
    </xf>
    <xf numFmtId="0" fontId="11" fillId="2" borderId="8" xfId="0" applyFont="1" applyFill="1" applyBorder="1" applyAlignment="1">
      <alignment horizontal="left" vertical="top" wrapText="1"/>
    </xf>
    <xf numFmtId="0" fontId="12" fillId="2" borderId="0" xfId="0" applyFont="1" applyFill="1" applyBorder="1" applyAlignment="1">
      <alignment horizontal="left"/>
    </xf>
    <xf numFmtId="0" fontId="0" fillId="0" borderId="2" xfId="0" applyFill="1" applyBorder="1" applyAlignment="1">
      <alignment horizontal="center"/>
    </xf>
    <xf numFmtId="0" fontId="0" fillId="0" borderId="0" xfId="0" applyFill="1" applyBorder="1" applyAlignment="1">
      <alignment horizontal="left"/>
    </xf>
    <xf numFmtId="0" fontId="0" fillId="0" borderId="5" xfId="0" applyFill="1" applyBorder="1" applyAlignment="1">
      <alignment horizontal="left"/>
    </xf>
    <xf numFmtId="0" fontId="0" fillId="0" borderId="2" xfId="0" applyFill="1" applyBorder="1" applyAlignment="1">
      <alignment horizontal="left"/>
    </xf>
    <xf numFmtId="0" fontId="3" fillId="2" borderId="0" xfId="0" applyFont="1" applyFill="1" applyBorder="1" applyAlignment="1">
      <alignment horizontal="center"/>
    </xf>
    <xf numFmtId="0" fontId="3" fillId="2" borderId="0" xfId="0" applyFont="1" applyFill="1" applyBorder="1" applyAlignment="1">
      <alignment horizontal="center"/>
    </xf>
    <xf numFmtId="0" fontId="13" fillId="0" borderId="0" xfId="0" applyFont="1" applyFill="1"/>
    <xf numFmtId="0" fontId="7" fillId="0" borderId="0" xfId="0" applyFont="1" applyFill="1"/>
    <xf numFmtId="0" fontId="3" fillId="2" borderId="0" xfId="0" applyFont="1" applyFill="1" applyAlignment="1">
      <alignment horizontal="left"/>
    </xf>
    <xf numFmtId="0" fontId="4" fillId="2" borderId="0" xfId="0" applyFont="1" applyFill="1" applyBorder="1" applyAlignment="1">
      <alignment horizontal="right"/>
    </xf>
    <xf numFmtId="3" fontId="3" fillId="2" borderId="0" xfId="0" applyNumberFormat="1" applyFont="1" applyFill="1" applyBorder="1" applyAlignment="1"/>
    <xf numFmtId="0" fontId="3" fillId="2" borderId="0" xfId="0" applyFont="1" applyFill="1" applyBorder="1" applyAlignment="1"/>
    <xf numFmtId="0" fontId="14" fillId="2" borderId="0" xfId="0" applyFont="1" applyFill="1" applyBorder="1" applyAlignment="1">
      <alignment vertical="top" wrapText="1"/>
    </xf>
    <xf numFmtId="0" fontId="14" fillId="2" borderId="8" xfId="0" applyFont="1" applyFill="1" applyBorder="1" applyAlignment="1">
      <alignment vertical="top" wrapText="1"/>
    </xf>
    <xf numFmtId="0" fontId="5" fillId="4" borderId="7" xfId="0" applyFont="1" applyFill="1" applyBorder="1"/>
    <xf numFmtId="0" fontId="5" fillId="4" borderId="0" xfId="0" applyFont="1" applyFill="1" applyBorder="1"/>
    <xf numFmtId="0" fontId="5" fillId="4" borderId="8" xfId="0" applyFont="1" applyFill="1" applyBorder="1"/>
    <xf numFmtId="0" fontId="5" fillId="4" borderId="0" xfId="0" applyFont="1" applyFill="1" applyBorder="1" applyAlignment="1"/>
    <xf numFmtId="0" fontId="5" fillId="4" borderId="4" xfId="0" applyFont="1" applyFill="1" applyBorder="1"/>
    <xf numFmtId="0" fontId="5" fillId="4" borderId="5" xfId="0" applyFont="1" applyFill="1" applyBorder="1"/>
    <xf numFmtId="0" fontId="5" fillId="4" borderId="6" xfId="0" applyFont="1" applyFill="1" applyBorder="1"/>
    <xf numFmtId="0" fontId="4" fillId="4" borderId="7" xfId="0" applyFont="1" applyFill="1" applyBorder="1"/>
    <xf numFmtId="0" fontId="4" fillId="4" borderId="0" xfId="0" applyFont="1" applyFill="1" applyBorder="1"/>
    <xf numFmtId="0" fontId="4" fillId="4" borderId="8" xfId="0" applyFont="1" applyFill="1" applyBorder="1"/>
    <xf numFmtId="0" fontId="4" fillId="4" borderId="1" xfId="0" applyFont="1" applyFill="1" applyBorder="1"/>
    <xf numFmtId="0" fontId="4" fillId="4" borderId="2" xfId="0" applyFont="1" applyFill="1" applyBorder="1"/>
    <xf numFmtId="0" fontId="4" fillId="4" borderId="3" xfId="0" applyFont="1" applyFill="1" applyBorder="1"/>
    <xf numFmtId="14" fontId="0" fillId="4" borderId="5" xfId="0" applyNumberFormat="1" applyFont="1" applyFill="1" applyBorder="1" applyAlignment="1"/>
    <xf numFmtId="14" fontId="0" fillId="4" borderId="6" xfId="0" applyNumberFormat="1" applyFont="1" applyFill="1" applyBorder="1" applyAlignment="1"/>
    <xf numFmtId="0" fontId="14" fillId="2" borderId="0" xfId="0" applyFont="1" applyFill="1" applyBorder="1"/>
    <xf numFmtId="0" fontId="3" fillId="2" borderId="0" xfId="1" applyNumberFormat="1" applyFont="1" applyFill="1" applyBorder="1" applyAlignment="1">
      <alignment wrapText="1"/>
    </xf>
    <xf numFmtId="0" fontId="5" fillId="3" borderId="5" xfId="0" applyFont="1" applyFill="1" applyBorder="1" applyAlignment="1" applyProtection="1">
      <alignment horizontal="center"/>
      <protection locked="0"/>
    </xf>
    <xf numFmtId="3" fontId="5" fillId="3" borderId="5" xfId="0" applyNumberFormat="1" applyFont="1" applyFill="1" applyBorder="1" applyAlignment="1" applyProtection="1">
      <alignment horizontal="center"/>
      <protection locked="0"/>
    </xf>
    <xf numFmtId="0" fontId="5" fillId="2" borderId="5" xfId="0" applyFont="1" applyFill="1" applyBorder="1" applyAlignment="1">
      <alignment horizontal="center"/>
    </xf>
    <xf numFmtId="9" fontId="3" fillId="2" borderId="0" xfId="1" applyFont="1" applyFill="1" applyBorder="1" applyAlignment="1">
      <alignment horizontal="center" wrapText="1"/>
    </xf>
    <xf numFmtId="9" fontId="3" fillId="2" borderId="5" xfId="1" applyFont="1" applyFill="1" applyBorder="1" applyAlignment="1">
      <alignment horizontal="center" wrapText="1"/>
    </xf>
    <xf numFmtId="0" fontId="4" fillId="4" borderId="2" xfId="0" applyFont="1" applyFill="1" applyBorder="1" applyAlignment="1">
      <alignment horizontal="center"/>
    </xf>
    <xf numFmtId="0" fontId="12" fillId="2" borderId="0"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2"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4" fillId="4" borderId="2" xfId="0" applyFont="1" applyFill="1" applyBorder="1" applyAlignment="1">
      <alignment horizontal="center" vertical="center"/>
    </xf>
    <xf numFmtId="3" fontId="3" fillId="3" borderId="5" xfId="0" applyNumberFormat="1" applyFont="1" applyFill="1" applyBorder="1" applyAlignment="1" applyProtection="1">
      <alignment horizontal="center"/>
      <protection locked="0"/>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3" fillId="2" borderId="0" xfId="0" applyFont="1" applyFill="1" applyBorder="1" applyAlignment="1">
      <alignment horizontal="center"/>
    </xf>
    <xf numFmtId="3" fontId="3" fillId="2" borderId="5" xfId="0" applyNumberFormat="1" applyFont="1" applyFill="1" applyBorder="1" applyAlignment="1">
      <alignment horizontal="center"/>
    </xf>
    <xf numFmtId="9" fontId="3" fillId="2" borderId="5" xfId="1" applyFont="1" applyFill="1" applyBorder="1" applyAlignment="1">
      <alignment horizontal="center"/>
    </xf>
    <xf numFmtId="14" fontId="5" fillId="4" borderId="4" xfId="0" applyNumberFormat="1" applyFont="1" applyFill="1" applyBorder="1" applyAlignment="1">
      <alignment horizontal="left"/>
    </xf>
    <xf numFmtId="14" fontId="5" fillId="4" borderId="5" xfId="0" applyNumberFormat="1" applyFont="1" applyFill="1" applyBorder="1" applyAlignment="1">
      <alignment horizontal="left"/>
    </xf>
    <xf numFmtId="14" fontId="2" fillId="4" borderId="5" xfId="0" applyNumberFormat="1" applyFont="1" applyFill="1" applyBorder="1" applyAlignment="1">
      <alignment horizontal="center"/>
    </xf>
    <xf numFmtId="0" fontId="14" fillId="2" borderId="0" xfId="0" applyFont="1" applyFill="1" applyBorder="1" applyAlignment="1">
      <alignment horizontal="left"/>
    </xf>
    <xf numFmtId="0" fontId="5" fillId="4" borderId="5" xfId="0" applyFont="1" applyFill="1" applyBorder="1" applyAlignment="1">
      <alignment horizontal="center"/>
    </xf>
    <xf numFmtId="3" fontId="5" fillId="2" borderId="5" xfId="0" applyNumberFormat="1" applyFont="1" applyFill="1" applyBorder="1" applyAlignment="1">
      <alignment horizontal="center"/>
    </xf>
    <xf numFmtId="3" fontId="5" fillId="4" borderId="5" xfId="0" applyNumberFormat="1" applyFont="1" applyFill="1" applyBorder="1" applyAlignment="1">
      <alignment horizontal="center"/>
    </xf>
    <xf numFmtId="0" fontId="14" fillId="2" borderId="0" xfId="0" applyFont="1" applyFill="1" applyBorder="1" applyAlignment="1">
      <alignment horizontal="left" vertical="top" wrapText="1"/>
    </xf>
    <xf numFmtId="0" fontId="3" fillId="2" borderId="0" xfId="1" applyNumberFormat="1" applyFont="1" applyFill="1" applyBorder="1" applyAlignment="1">
      <alignment horizontal="center" wrapText="1"/>
    </xf>
    <xf numFmtId="0" fontId="3" fillId="2" borderId="5" xfId="1" applyNumberFormat="1" applyFont="1" applyFill="1" applyBorder="1" applyAlignment="1">
      <alignment horizontal="center" wrapText="1"/>
    </xf>
    <xf numFmtId="0" fontId="12" fillId="2" borderId="0" xfId="0" applyFont="1" applyFill="1" applyBorder="1" applyAlignment="1">
      <alignment horizontal="left"/>
    </xf>
    <xf numFmtId="0" fontId="3" fillId="3" borderId="5" xfId="0" applyFont="1" applyFill="1" applyBorder="1" applyAlignment="1" applyProtection="1">
      <alignment horizontal="center"/>
      <protection locked="0"/>
    </xf>
    <xf numFmtId="0" fontId="3" fillId="2" borderId="5" xfId="0" applyFont="1" applyFill="1" applyBorder="1" applyAlignment="1">
      <alignment horizontal="center"/>
    </xf>
    <xf numFmtId="3" fontId="3" fillId="0" borderId="5" xfId="0" applyNumberFormat="1" applyFont="1" applyFill="1" applyBorder="1" applyAlignment="1">
      <alignment horizontal="center"/>
    </xf>
  </cellXfs>
  <cellStyles count="4">
    <cellStyle name="Comma" xfId="3" builtinId="3"/>
    <cellStyle name="Normal" xfId="0" builtinId="0"/>
    <cellStyle name="Normal 2" xfId="2"/>
    <cellStyle name="Percent" xfId="1" builtinId="5"/>
  </cellStyles>
  <dxfs count="1">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27646</xdr:colOff>
      <xdr:row>85</xdr:row>
      <xdr:rowOff>83634</xdr:rowOff>
    </xdr:from>
    <xdr:to>
      <xdr:col>14</xdr:col>
      <xdr:colOff>27646</xdr:colOff>
      <xdr:row>85</xdr:row>
      <xdr:rowOff>83634</xdr:rowOff>
    </xdr:to>
    <xdr:cxnSp macro="">
      <xdr:nvCxnSpPr>
        <xdr:cNvPr id="3" name="Straight Arrow Connector 2"/>
        <xdr:cNvCxnSpPr/>
      </xdr:nvCxnSpPr>
      <xdr:spPr>
        <a:xfrm>
          <a:off x="1627846" y="8608509"/>
          <a:ext cx="457200" cy="0"/>
        </a:xfrm>
        <a:prstGeom prst="straightConnector1">
          <a:avLst/>
        </a:prstGeom>
        <a:ln>
          <a:solidFill>
            <a:sysClr val="windowText" lastClr="000000"/>
          </a:solidFill>
          <a:headEnd type="none" w="sm" len="sm"/>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34151</xdr:colOff>
      <xdr:row>87</xdr:row>
      <xdr:rowOff>85028</xdr:rowOff>
    </xdr:from>
    <xdr:to>
      <xdr:col>14</xdr:col>
      <xdr:colOff>34151</xdr:colOff>
      <xdr:row>87</xdr:row>
      <xdr:rowOff>85028</xdr:rowOff>
    </xdr:to>
    <xdr:cxnSp macro="">
      <xdr:nvCxnSpPr>
        <xdr:cNvPr id="5" name="Straight Arrow Connector 4"/>
        <xdr:cNvCxnSpPr/>
      </xdr:nvCxnSpPr>
      <xdr:spPr>
        <a:xfrm>
          <a:off x="1634351" y="8809928"/>
          <a:ext cx="457200" cy="0"/>
        </a:xfrm>
        <a:prstGeom prst="straightConnector1">
          <a:avLst/>
        </a:prstGeom>
        <a:ln>
          <a:solidFill>
            <a:sysClr val="windowText" lastClr="000000"/>
          </a:solidFill>
          <a:headEnd type="none" w="sm" len="sm"/>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51"/>
  <sheetViews>
    <sheetView showRowColHeaders="0" tabSelected="1" zoomScaleNormal="100" zoomScaleSheetLayoutView="100" workbookViewId="0">
      <selection activeCell="Z26" sqref="Z26:AC26"/>
    </sheetView>
  </sheetViews>
  <sheetFormatPr defaultColWidth="2.28515625" defaultRowHeight="12" x14ac:dyDescent="0.2"/>
  <cols>
    <col min="1" max="1" width="1.140625" style="20" customWidth="1"/>
    <col min="2" max="16" width="2.28515625" style="20"/>
    <col min="17" max="17" width="2.28515625" style="20" customWidth="1"/>
    <col min="18" max="24" width="2.28515625" style="20"/>
    <col min="25" max="25" width="2.28515625" style="20" customWidth="1"/>
    <col min="26" max="31" width="2.28515625" style="20"/>
    <col min="32" max="32" width="2.28515625" style="20" customWidth="1"/>
    <col min="33" max="53" width="2.28515625" style="20"/>
    <col min="54" max="54" width="1.140625" style="20" customWidth="1"/>
    <col min="55" max="55" width="2.28515625" style="2" hidden="1" customWidth="1"/>
    <col min="56" max="56" width="26.5703125" style="2" hidden="1" customWidth="1"/>
    <col min="57" max="58" width="12.42578125" style="2" hidden="1" customWidth="1"/>
    <col min="59" max="59" width="14" style="2" hidden="1" customWidth="1"/>
    <col min="60" max="61" width="12.42578125" style="2" hidden="1" customWidth="1"/>
    <col min="62" max="16384" width="2.28515625" style="2"/>
  </cols>
  <sheetData>
    <row r="1" spans="1:60" ht="15" x14ac:dyDescent="0.25">
      <c r="A1" s="127" t="s">
        <v>148</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9"/>
    </row>
    <row r="2" spans="1:60" ht="15" x14ac:dyDescent="0.25">
      <c r="A2" s="133">
        <v>42404</v>
      </c>
      <c r="B2" s="134"/>
      <c r="C2" s="134"/>
      <c r="D2" s="134"/>
      <c r="E2" s="134"/>
      <c r="F2" s="134"/>
      <c r="G2" s="134"/>
      <c r="H2" s="135" t="s">
        <v>151</v>
      </c>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10"/>
      <c r="AW2" s="110"/>
      <c r="AX2" s="110"/>
      <c r="AY2" s="110"/>
      <c r="AZ2" s="110"/>
      <c r="BA2" s="110"/>
      <c r="BB2" s="111"/>
    </row>
    <row r="3" spans="1:60" ht="3.75"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5"/>
    </row>
    <row r="4" spans="1:60" x14ac:dyDescent="0.2">
      <c r="A4" s="6"/>
      <c r="B4" s="7" t="s">
        <v>0</v>
      </c>
      <c r="C4" s="7"/>
      <c r="D4" s="7"/>
      <c r="E4" s="7"/>
      <c r="F4" s="7"/>
      <c r="G4" s="7"/>
      <c r="H4" s="7"/>
      <c r="I4" s="7"/>
      <c r="J4" s="7"/>
      <c r="K4" s="7"/>
      <c r="L4" s="7"/>
      <c r="M4" s="7"/>
      <c r="N4" s="7"/>
      <c r="O4" s="7"/>
      <c r="P4" s="7"/>
      <c r="Q4" s="7"/>
      <c r="R4" s="7"/>
      <c r="S4" s="7"/>
      <c r="T4" s="7"/>
      <c r="U4" s="7"/>
      <c r="V4" s="7"/>
      <c r="W4" s="7"/>
      <c r="X4" s="7"/>
      <c r="Y4" s="7"/>
      <c r="Z4" s="7"/>
      <c r="AA4" s="7"/>
      <c r="AB4" s="7"/>
      <c r="AC4" s="7"/>
      <c r="AD4" s="7"/>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8"/>
    </row>
    <row r="5" spans="1:60" ht="3.75" customHeight="1" x14ac:dyDescent="0.2">
      <c r="A5" s="6"/>
      <c r="B5" s="7"/>
      <c r="C5" s="7"/>
      <c r="D5" s="7"/>
      <c r="E5" s="7"/>
      <c r="F5" s="7"/>
      <c r="G5" s="7"/>
      <c r="H5" s="7"/>
      <c r="I5" s="7"/>
      <c r="J5" s="7"/>
      <c r="K5" s="7"/>
      <c r="L5" s="7"/>
      <c r="M5" s="7"/>
      <c r="N5" s="7"/>
      <c r="O5" s="7"/>
      <c r="P5" s="7"/>
      <c r="Q5" s="7"/>
      <c r="R5" s="7"/>
      <c r="S5" s="7"/>
      <c r="T5" s="7"/>
      <c r="U5" s="7"/>
      <c r="V5" s="7"/>
      <c r="W5" s="7"/>
      <c r="X5" s="7"/>
      <c r="Y5" s="7"/>
      <c r="Z5" s="7"/>
      <c r="AA5" s="7"/>
      <c r="AB5" s="7"/>
      <c r="AC5" s="7"/>
      <c r="AD5" s="7"/>
      <c r="AE5" s="9"/>
      <c r="AF5" s="9"/>
      <c r="AG5" s="9"/>
      <c r="AH5" s="9"/>
      <c r="AI5" s="9"/>
      <c r="AJ5" s="9"/>
      <c r="AK5" s="9"/>
      <c r="AL5" s="9"/>
      <c r="AM5" s="9"/>
      <c r="AN5" s="9"/>
      <c r="AO5" s="9"/>
      <c r="AP5" s="9"/>
      <c r="AQ5" s="9"/>
      <c r="AR5" s="9"/>
      <c r="AS5" s="9"/>
      <c r="AT5" s="9"/>
      <c r="AU5" s="9"/>
      <c r="AV5" s="9"/>
      <c r="AW5" s="9"/>
      <c r="AX5" s="9"/>
      <c r="AY5" s="9"/>
      <c r="AZ5" s="7"/>
      <c r="BA5" s="7"/>
      <c r="BB5" s="8"/>
    </row>
    <row r="6" spans="1:60" x14ac:dyDescent="0.2">
      <c r="A6" s="6"/>
      <c r="B6" s="7" t="s">
        <v>1</v>
      </c>
      <c r="C6" s="7"/>
      <c r="D6" s="7"/>
      <c r="E6" s="7"/>
      <c r="F6" s="7"/>
      <c r="G6" s="7"/>
      <c r="H6" s="7"/>
      <c r="I6" s="7"/>
      <c r="J6" s="7"/>
      <c r="K6" s="7"/>
      <c r="L6" s="7"/>
      <c r="M6" s="7"/>
      <c r="N6" s="7"/>
      <c r="O6" s="7"/>
      <c r="P6" s="7"/>
      <c r="Q6" s="7"/>
      <c r="R6" s="7"/>
      <c r="S6" s="7"/>
      <c r="T6" s="7"/>
      <c r="U6" s="7"/>
      <c r="V6" s="7"/>
      <c r="W6" s="7"/>
      <c r="X6" s="7"/>
      <c r="Y6" s="7"/>
      <c r="Z6" s="7"/>
      <c r="AA6" s="7"/>
      <c r="AB6" s="7"/>
      <c r="AC6" s="7"/>
      <c r="AD6" s="7"/>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8"/>
    </row>
    <row r="7" spans="1:60" ht="3.75" customHeight="1" x14ac:dyDescent="0.2">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9"/>
      <c r="AF7" s="9"/>
      <c r="AG7" s="9"/>
      <c r="AH7" s="9"/>
      <c r="AI7" s="9"/>
      <c r="AJ7" s="9"/>
      <c r="AK7" s="9"/>
      <c r="AL7" s="9"/>
      <c r="AM7" s="9"/>
      <c r="AN7" s="122" t="str">
        <f>IF(AE10&gt;10000,"The pre-sized approach is not applicable for projects exceeding 10,000 sf of new plus replaced hard surface.",IF(AE8="Yes","If only On-site BMPs are used, the hard surface area requiring management may be reduced by up to 2,000 square feet (with DPD approval).",""))</f>
        <v/>
      </c>
      <c r="AO7" s="122"/>
      <c r="AP7" s="122"/>
      <c r="AQ7" s="122"/>
      <c r="AR7" s="122"/>
      <c r="AS7" s="122"/>
      <c r="AT7" s="122"/>
      <c r="AU7" s="122"/>
      <c r="AV7" s="122"/>
      <c r="AW7" s="122"/>
      <c r="AX7" s="122"/>
      <c r="AY7" s="122"/>
      <c r="AZ7" s="122"/>
      <c r="BA7" s="122"/>
      <c r="BB7" s="8"/>
    </row>
    <row r="8" spans="1:60" ht="12" customHeight="1" x14ac:dyDescent="0.2">
      <c r="A8" s="6"/>
      <c r="B8" s="7" t="s">
        <v>2</v>
      </c>
      <c r="C8" s="7"/>
      <c r="D8" s="7"/>
      <c r="E8" s="7"/>
      <c r="F8" s="7"/>
      <c r="G8" s="7"/>
      <c r="H8" s="7"/>
      <c r="I8" s="7"/>
      <c r="J8" s="7"/>
      <c r="K8" s="7"/>
      <c r="L8" s="7"/>
      <c r="M8" s="7"/>
      <c r="N8" s="7"/>
      <c r="O8" s="7"/>
      <c r="P8" s="7"/>
      <c r="Q8" s="7"/>
      <c r="R8" s="7"/>
      <c r="S8" s="7"/>
      <c r="T8" s="7"/>
      <c r="U8" s="7"/>
      <c r="V8" s="7"/>
      <c r="W8" s="7"/>
      <c r="X8" s="7"/>
      <c r="Y8" s="9"/>
      <c r="Z8" s="9"/>
      <c r="AA8" s="9"/>
      <c r="AB8" s="9"/>
      <c r="AC8" s="9"/>
      <c r="AD8" s="9"/>
      <c r="AE8" s="114"/>
      <c r="AF8" s="114"/>
      <c r="AG8" s="114"/>
      <c r="AH8" s="114"/>
      <c r="AI8" s="114"/>
      <c r="AJ8" s="114"/>
      <c r="AK8" s="114"/>
      <c r="AL8" s="114"/>
      <c r="AM8" s="9"/>
      <c r="AN8" s="123"/>
      <c r="AO8" s="123"/>
      <c r="AP8" s="123"/>
      <c r="AQ8" s="123"/>
      <c r="AR8" s="123"/>
      <c r="AS8" s="123"/>
      <c r="AT8" s="123"/>
      <c r="AU8" s="123"/>
      <c r="AV8" s="123"/>
      <c r="AW8" s="123"/>
      <c r="AX8" s="123"/>
      <c r="AY8" s="123"/>
      <c r="AZ8" s="123"/>
      <c r="BA8" s="123"/>
      <c r="BB8" s="81"/>
    </row>
    <row r="9" spans="1:60" ht="3.75" customHeight="1" x14ac:dyDescent="0.2">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123"/>
      <c r="AO9" s="123"/>
      <c r="AP9" s="123"/>
      <c r="AQ9" s="123"/>
      <c r="AR9" s="123"/>
      <c r="AS9" s="123"/>
      <c r="AT9" s="123"/>
      <c r="AU9" s="123"/>
      <c r="AV9" s="123"/>
      <c r="AW9" s="123"/>
      <c r="AX9" s="123"/>
      <c r="AY9" s="123"/>
      <c r="AZ9" s="123"/>
      <c r="BA9" s="123"/>
      <c r="BB9" s="81"/>
    </row>
    <row r="10" spans="1:60" x14ac:dyDescent="0.2">
      <c r="A10" s="6"/>
      <c r="B10" s="7" t="s">
        <v>3</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115"/>
      <c r="AF10" s="115"/>
      <c r="AG10" s="115"/>
      <c r="AH10" s="115"/>
      <c r="AI10" s="115"/>
      <c r="AJ10" s="115"/>
      <c r="AK10" s="115"/>
      <c r="AL10" s="115"/>
      <c r="AM10" s="7" t="s">
        <v>7</v>
      </c>
      <c r="AN10" s="123"/>
      <c r="AO10" s="123"/>
      <c r="AP10" s="123"/>
      <c r="AQ10" s="123"/>
      <c r="AR10" s="123"/>
      <c r="AS10" s="123"/>
      <c r="AT10" s="123"/>
      <c r="AU10" s="123"/>
      <c r="AV10" s="123"/>
      <c r="AW10" s="123"/>
      <c r="AX10" s="123"/>
      <c r="AY10" s="123"/>
      <c r="AZ10" s="123"/>
      <c r="BA10" s="123"/>
      <c r="BB10" s="81"/>
      <c r="BD10" s="79"/>
      <c r="BE10" s="79"/>
      <c r="BF10" s="79"/>
      <c r="BG10" s="79"/>
      <c r="BH10" s="79"/>
    </row>
    <row r="11" spans="1:60" ht="3.75" customHeight="1" x14ac:dyDescent="0.2">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123"/>
      <c r="AO11" s="123"/>
      <c r="AP11" s="123"/>
      <c r="AQ11" s="123"/>
      <c r="AR11" s="123"/>
      <c r="AS11" s="123"/>
      <c r="AT11" s="123"/>
      <c r="AU11" s="123"/>
      <c r="AV11" s="123"/>
      <c r="AW11" s="123"/>
      <c r="AX11" s="123"/>
      <c r="AY11" s="123"/>
      <c r="AZ11" s="123"/>
      <c r="BA11" s="123"/>
      <c r="BB11" s="81"/>
    </row>
    <row r="12" spans="1:60" x14ac:dyDescent="0.2">
      <c r="A12" s="6"/>
      <c r="B12" s="7" t="s">
        <v>77</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116" t="str">
        <f>AU145</f>
        <v>No</v>
      </c>
      <c r="AF12" s="116"/>
      <c r="AG12" s="116"/>
      <c r="AH12" s="116"/>
      <c r="AI12" s="116"/>
      <c r="AJ12" s="116"/>
      <c r="AK12" s="116"/>
      <c r="AL12" s="116"/>
      <c r="AM12" s="7"/>
      <c r="AN12" s="123"/>
      <c r="AO12" s="123"/>
      <c r="AP12" s="123"/>
      <c r="AQ12" s="123"/>
      <c r="AR12" s="123"/>
      <c r="AS12" s="123"/>
      <c r="AT12" s="123"/>
      <c r="AU12" s="123"/>
      <c r="AV12" s="123"/>
      <c r="AW12" s="123"/>
      <c r="AX12" s="123"/>
      <c r="AY12" s="123"/>
      <c r="AZ12" s="123"/>
      <c r="BA12" s="123"/>
      <c r="BB12" s="81"/>
    </row>
    <row r="13" spans="1:60" ht="3.75" customHeight="1" x14ac:dyDescent="0.2">
      <c r="A13" s="10"/>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4"/>
      <c r="AO13" s="124"/>
      <c r="AP13" s="124"/>
      <c r="AQ13" s="124"/>
      <c r="AR13" s="124"/>
      <c r="AS13" s="124"/>
      <c r="AT13" s="124"/>
      <c r="AU13" s="124"/>
      <c r="AV13" s="124"/>
      <c r="AW13" s="124"/>
      <c r="AX13" s="124"/>
      <c r="AY13" s="124"/>
      <c r="AZ13" s="124"/>
      <c r="BA13" s="124"/>
      <c r="BB13" s="12"/>
    </row>
    <row r="14" spans="1:60" s="58" customFormat="1" x14ac:dyDescent="0.2">
      <c r="A14" s="104" t="s">
        <v>139</v>
      </c>
      <c r="B14" s="105"/>
      <c r="C14" s="105"/>
      <c r="D14" s="105"/>
      <c r="E14" s="105"/>
      <c r="F14" s="105"/>
      <c r="G14" s="105"/>
      <c r="H14" s="105"/>
      <c r="I14" s="105"/>
      <c r="J14" s="105"/>
      <c r="K14" s="105"/>
      <c r="L14" s="105"/>
      <c r="M14" s="105"/>
      <c r="N14" s="105"/>
      <c r="O14" s="105"/>
      <c r="P14" s="105"/>
      <c r="Q14" s="105"/>
      <c r="R14" s="105"/>
      <c r="S14" s="105"/>
      <c r="T14" s="125" t="s">
        <v>15</v>
      </c>
      <c r="U14" s="125"/>
      <c r="V14" s="125"/>
      <c r="W14" s="125"/>
      <c r="X14" s="125"/>
      <c r="Y14" s="125"/>
      <c r="Z14" s="125"/>
      <c r="AA14" s="125"/>
      <c r="AB14" s="125"/>
      <c r="AC14" s="125"/>
      <c r="AD14" s="125"/>
      <c r="AE14" s="105"/>
      <c r="AF14" s="105"/>
      <c r="AG14" s="105"/>
      <c r="AH14" s="119" t="s">
        <v>16</v>
      </c>
      <c r="AI14" s="119"/>
      <c r="AJ14" s="119"/>
      <c r="AK14" s="119"/>
      <c r="AL14" s="119"/>
      <c r="AM14" s="119"/>
      <c r="AN14" s="119"/>
      <c r="AO14" s="119"/>
      <c r="AP14" s="119"/>
      <c r="AQ14" s="119"/>
      <c r="AR14" s="119"/>
      <c r="AS14" s="105"/>
      <c r="AT14" s="105"/>
      <c r="AU14" s="105"/>
      <c r="AV14" s="119" t="s">
        <v>17</v>
      </c>
      <c r="AW14" s="119"/>
      <c r="AX14" s="119"/>
      <c r="AY14" s="119"/>
      <c r="AZ14" s="119"/>
      <c r="BA14" s="119"/>
      <c r="BB14" s="106"/>
    </row>
    <row r="15" spans="1:60" ht="3.75" customHeight="1" x14ac:dyDescent="0.2">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8"/>
    </row>
    <row r="16" spans="1:60" x14ac:dyDescent="0.2">
      <c r="A16" s="6"/>
      <c r="B16" s="13" t="s">
        <v>11</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8"/>
    </row>
    <row r="17" spans="1:60" ht="3.75" customHeight="1" x14ac:dyDescent="0.2">
      <c r="A17" s="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8"/>
    </row>
    <row r="18" spans="1:60" s="28" customFormat="1" x14ac:dyDescent="0.2">
      <c r="A18" s="21"/>
      <c r="B18" s="22"/>
      <c r="C18" s="14" t="s">
        <v>115</v>
      </c>
      <c r="D18" s="1"/>
      <c r="E18" s="22"/>
      <c r="F18" s="22"/>
      <c r="G18" s="22"/>
      <c r="H18" s="22"/>
      <c r="I18" s="24"/>
      <c r="J18" s="22"/>
      <c r="K18" s="22"/>
      <c r="L18" s="130" t="s">
        <v>117</v>
      </c>
      <c r="M18" s="130"/>
      <c r="N18" s="126"/>
      <c r="O18" s="126"/>
      <c r="P18" s="126"/>
      <c r="Q18" s="126"/>
      <c r="R18" s="25"/>
      <c r="S18" s="1" t="s">
        <v>20</v>
      </c>
      <c r="T18" s="22"/>
      <c r="U18" s="22"/>
      <c r="V18" s="25"/>
      <c r="W18" s="7"/>
      <c r="X18" s="25"/>
      <c r="Y18" s="7"/>
      <c r="Z18" s="126"/>
      <c r="AA18" s="126"/>
      <c r="AB18" s="126"/>
      <c r="AC18" s="126"/>
      <c r="AD18" s="22" t="s">
        <v>7</v>
      </c>
      <c r="AE18" s="25"/>
      <c r="AF18" s="26" t="s">
        <v>50</v>
      </c>
      <c r="AG18" s="25"/>
      <c r="AH18" s="145" t="str">
        <f>"20% Canopy or 100 sf / tree"&amp;IF(AND(N18="",Z18=""),""," = "&amp;TEXT(MAX(0.2*Z18,100*N18),"#,##0")&amp;" sf")</f>
        <v>20% Canopy or 100 sf / tree</v>
      </c>
      <c r="AI18" s="145"/>
      <c r="AJ18" s="145"/>
      <c r="AK18" s="145"/>
      <c r="AL18" s="145"/>
      <c r="AM18" s="145"/>
      <c r="AN18" s="145"/>
      <c r="AO18" s="145"/>
      <c r="AP18" s="145"/>
      <c r="AQ18" s="145"/>
      <c r="AR18" s="145"/>
      <c r="AS18" s="145"/>
      <c r="AT18" s="145"/>
      <c r="AU18" s="93"/>
      <c r="AV18" s="93"/>
      <c r="AW18" s="22"/>
      <c r="AX18" s="22"/>
      <c r="AY18" s="22"/>
      <c r="AZ18" s="22"/>
      <c r="BA18" s="22"/>
      <c r="BB18" s="27"/>
      <c r="BD18" s="2"/>
      <c r="BE18" s="2"/>
      <c r="BF18" s="2"/>
      <c r="BG18" s="2"/>
      <c r="BH18" s="2"/>
    </row>
    <row r="19" spans="1:60" ht="3.75" customHeight="1" x14ac:dyDescent="0.2">
      <c r="A19" s="6"/>
      <c r="B19" s="7"/>
      <c r="C19" s="14"/>
      <c r="D19" s="7"/>
      <c r="E19" s="7"/>
      <c r="F19" s="7"/>
      <c r="G19" s="7"/>
      <c r="H19" s="7"/>
      <c r="I19" s="7"/>
      <c r="J19" s="7"/>
      <c r="K19" s="7"/>
      <c r="L19" s="15"/>
      <c r="M19" s="7"/>
      <c r="N19" s="7"/>
      <c r="O19" s="15"/>
      <c r="P19" s="15"/>
      <c r="Q19" s="15"/>
      <c r="R19" s="15"/>
      <c r="S19" s="76"/>
      <c r="T19" s="7"/>
      <c r="U19" s="7"/>
      <c r="V19" s="15"/>
      <c r="W19" s="7"/>
      <c r="X19" s="15"/>
      <c r="Y19" s="7"/>
      <c r="Z19" s="7"/>
      <c r="AA19" s="7"/>
      <c r="AB19" s="7"/>
      <c r="AC19" s="7"/>
      <c r="AD19" s="7"/>
      <c r="AE19" s="15"/>
      <c r="AF19" s="16"/>
      <c r="AG19" s="15"/>
      <c r="AH19" s="9"/>
      <c r="AI19" s="9"/>
      <c r="AJ19" s="9"/>
      <c r="AK19" s="9"/>
      <c r="AL19" s="9"/>
      <c r="AM19" s="9"/>
      <c r="AN19" s="9"/>
      <c r="AO19" s="9"/>
      <c r="AP19" s="9"/>
      <c r="AQ19" s="9"/>
      <c r="AR19" s="9"/>
      <c r="AS19" s="9"/>
      <c r="AT19" s="9"/>
      <c r="AU19" s="7"/>
      <c r="AV19" s="93"/>
      <c r="AW19" s="22"/>
      <c r="AX19" s="22"/>
      <c r="AY19" s="22"/>
      <c r="AZ19" s="22"/>
      <c r="BA19" s="22"/>
      <c r="BB19" s="8"/>
    </row>
    <row r="20" spans="1:60" s="28" customFormat="1" x14ac:dyDescent="0.2">
      <c r="A20" s="21"/>
      <c r="B20" s="22"/>
      <c r="C20" s="14" t="s">
        <v>116</v>
      </c>
      <c r="D20" s="1"/>
      <c r="E20" s="22"/>
      <c r="F20" s="22"/>
      <c r="G20" s="22"/>
      <c r="H20" s="22"/>
      <c r="I20" s="24"/>
      <c r="J20" s="22"/>
      <c r="K20" s="22"/>
      <c r="L20" s="130" t="s">
        <v>117</v>
      </c>
      <c r="M20" s="130"/>
      <c r="N20" s="126"/>
      <c r="O20" s="126"/>
      <c r="P20" s="126"/>
      <c r="Q20" s="126"/>
      <c r="R20" s="25"/>
      <c r="S20" s="1" t="s">
        <v>20</v>
      </c>
      <c r="T20" s="22"/>
      <c r="U20" s="22"/>
      <c r="V20" s="25"/>
      <c r="W20" s="7"/>
      <c r="X20" s="25"/>
      <c r="Y20" s="7"/>
      <c r="Z20" s="126"/>
      <c r="AA20" s="126"/>
      <c r="AB20" s="126"/>
      <c r="AC20" s="126"/>
      <c r="AD20" s="22" t="s">
        <v>7</v>
      </c>
      <c r="AE20" s="25"/>
      <c r="AF20" s="26" t="s">
        <v>50</v>
      </c>
      <c r="AG20" s="25"/>
      <c r="AH20" s="145" t="str">
        <f>"10% Canopy or 50 sf / tree"&amp;IF(AND(N20="",Z20=""),""," = "&amp;TEXT(MAX(0.1*Z20,50*N20),"#,##0")&amp;" sf")</f>
        <v>10% Canopy or 50 sf / tree</v>
      </c>
      <c r="AI20" s="145"/>
      <c r="AJ20" s="145"/>
      <c r="AK20" s="145"/>
      <c r="AL20" s="145"/>
      <c r="AM20" s="145"/>
      <c r="AN20" s="145"/>
      <c r="AO20" s="145"/>
      <c r="AP20" s="145"/>
      <c r="AQ20" s="145"/>
      <c r="AR20" s="145"/>
      <c r="AS20" s="145"/>
      <c r="AT20" s="145"/>
      <c r="AU20" s="22"/>
      <c r="AV20" s="93"/>
      <c r="AW20" s="22"/>
      <c r="AX20" s="22"/>
      <c r="AY20" s="22"/>
      <c r="AZ20" s="22"/>
      <c r="BA20" s="22"/>
      <c r="BB20" s="27"/>
      <c r="BD20" s="2"/>
      <c r="BE20" s="2"/>
      <c r="BF20" s="2"/>
      <c r="BG20" s="2"/>
      <c r="BH20" s="2"/>
    </row>
    <row r="21" spans="1:60" ht="3.75" customHeight="1" x14ac:dyDescent="0.2">
      <c r="A21" s="6"/>
      <c r="B21" s="7"/>
      <c r="C21" s="7"/>
      <c r="D21" s="7"/>
      <c r="E21" s="7"/>
      <c r="F21" s="7"/>
      <c r="G21" s="7"/>
      <c r="H21" s="7"/>
      <c r="I21" s="7"/>
      <c r="J21" s="7"/>
      <c r="K21" s="7"/>
      <c r="L21" s="15"/>
      <c r="M21" s="7"/>
      <c r="N21" s="7"/>
      <c r="O21" s="15"/>
      <c r="P21" s="15"/>
      <c r="Q21" s="15"/>
      <c r="R21" s="15"/>
      <c r="S21" s="15"/>
      <c r="T21" s="76"/>
      <c r="U21" s="7"/>
      <c r="V21" s="7"/>
      <c r="W21" s="15"/>
      <c r="X21" s="7"/>
      <c r="Y21" s="7"/>
      <c r="Z21" s="7"/>
      <c r="AA21" s="7"/>
      <c r="AB21" s="7"/>
      <c r="AC21" s="7"/>
      <c r="AD21" s="7"/>
      <c r="AE21" s="15"/>
      <c r="AF21" s="7"/>
      <c r="AG21" s="15"/>
      <c r="AH21" s="7"/>
      <c r="AI21" s="7"/>
      <c r="AJ21" s="7"/>
      <c r="AK21" s="7"/>
      <c r="AL21" s="7"/>
      <c r="AM21" s="7"/>
      <c r="AN21" s="7"/>
      <c r="AO21" s="7"/>
      <c r="AP21" s="7"/>
      <c r="AQ21" s="7"/>
      <c r="AR21" s="7"/>
      <c r="AS21" s="7"/>
      <c r="AT21" s="17"/>
      <c r="AU21" s="7"/>
      <c r="AV21" s="93"/>
      <c r="AW21" s="22"/>
      <c r="AX21" s="22"/>
      <c r="AY21" s="22"/>
      <c r="AZ21" s="22"/>
      <c r="BA21" s="22"/>
      <c r="BB21" s="8"/>
    </row>
    <row r="22" spans="1:60" x14ac:dyDescent="0.2">
      <c r="A22" s="6"/>
      <c r="B22" s="13" t="s">
        <v>18</v>
      </c>
      <c r="C22" s="7"/>
      <c r="D22" s="7"/>
      <c r="E22" s="7"/>
      <c r="F22" s="7"/>
      <c r="G22" s="7"/>
      <c r="H22" s="7"/>
      <c r="I22" s="7"/>
      <c r="J22" s="7"/>
      <c r="K22" s="7"/>
      <c r="L22" s="15"/>
      <c r="M22" s="7"/>
      <c r="N22" s="7"/>
      <c r="O22" s="15"/>
      <c r="P22" s="15"/>
      <c r="Q22" s="15"/>
      <c r="R22" s="15"/>
      <c r="S22" s="15"/>
      <c r="T22" s="76"/>
      <c r="U22" s="7"/>
      <c r="V22" s="7"/>
      <c r="W22" s="15"/>
      <c r="X22" s="7"/>
      <c r="Y22" s="7"/>
      <c r="Z22" s="7"/>
      <c r="AA22" s="7"/>
      <c r="AB22" s="7"/>
      <c r="AC22" s="7"/>
      <c r="AD22" s="7"/>
      <c r="AE22" s="15"/>
      <c r="AF22" s="7"/>
      <c r="AG22" s="15"/>
      <c r="AH22" s="7"/>
      <c r="AI22" s="7"/>
      <c r="AJ22" s="7"/>
      <c r="AK22" s="7"/>
      <c r="AL22" s="7"/>
      <c r="AM22" s="7"/>
      <c r="AN22" s="7"/>
      <c r="AO22" s="7"/>
      <c r="AP22" s="7"/>
      <c r="AQ22" s="7"/>
      <c r="AR22" s="7"/>
      <c r="AS22" s="7"/>
      <c r="AT22" s="17"/>
      <c r="AU22" s="7"/>
      <c r="AV22" s="93"/>
      <c r="AW22" s="22"/>
      <c r="AX22" s="22"/>
      <c r="AY22" s="22"/>
      <c r="AZ22" s="22"/>
      <c r="BA22" s="22"/>
      <c r="BB22" s="8"/>
    </row>
    <row r="23" spans="1:60" ht="3.75" customHeight="1" x14ac:dyDescent="0.2">
      <c r="A23" s="6"/>
      <c r="B23" s="7"/>
      <c r="C23" s="7"/>
      <c r="D23" s="7"/>
      <c r="E23" s="7"/>
      <c r="F23" s="7"/>
      <c r="G23" s="7"/>
      <c r="H23" s="7"/>
      <c r="I23" s="7"/>
      <c r="J23" s="7"/>
      <c r="K23" s="7"/>
      <c r="L23" s="7"/>
      <c r="M23" s="7"/>
      <c r="N23" s="7"/>
      <c r="O23" s="15"/>
      <c r="P23" s="15"/>
      <c r="Q23" s="15"/>
      <c r="R23" s="15"/>
      <c r="S23" s="15"/>
      <c r="T23" s="76"/>
      <c r="U23" s="7"/>
      <c r="V23" s="7"/>
      <c r="W23" s="15"/>
      <c r="X23" s="7"/>
      <c r="Y23" s="7"/>
      <c r="Z23" s="7"/>
      <c r="AA23" s="7"/>
      <c r="AB23" s="7"/>
      <c r="AC23" s="7"/>
      <c r="AD23" s="7"/>
      <c r="AE23" s="15"/>
      <c r="AF23" s="7"/>
      <c r="AG23" s="15"/>
      <c r="AH23" s="7"/>
      <c r="AI23" s="7"/>
      <c r="AJ23" s="7"/>
      <c r="AK23" s="7"/>
      <c r="AL23" s="7"/>
      <c r="AM23" s="7"/>
      <c r="AN23" s="7"/>
      <c r="AO23" s="7"/>
      <c r="AP23" s="7"/>
      <c r="AQ23" s="7"/>
      <c r="AR23" s="7"/>
      <c r="AS23" s="7"/>
      <c r="AT23" s="17"/>
      <c r="AU23" s="7"/>
      <c r="AV23" s="93"/>
      <c r="AW23" s="22"/>
      <c r="AX23" s="22"/>
      <c r="AY23" s="22"/>
      <c r="AZ23" s="22"/>
      <c r="BA23" s="22"/>
      <c r="BB23" s="8"/>
    </row>
    <row r="24" spans="1:60" x14ac:dyDescent="0.2">
      <c r="A24" s="6"/>
      <c r="B24" s="7"/>
      <c r="C24" s="14" t="s">
        <v>12</v>
      </c>
      <c r="D24" s="7"/>
      <c r="E24" s="7"/>
      <c r="F24" s="7"/>
      <c r="G24" s="7"/>
      <c r="H24" s="7"/>
      <c r="I24" s="7"/>
      <c r="J24" s="22"/>
      <c r="K24" s="22"/>
      <c r="L24" s="7"/>
      <c r="M24" s="7"/>
      <c r="N24" s="7"/>
      <c r="O24" s="15"/>
      <c r="P24" s="15"/>
      <c r="Q24" s="15"/>
      <c r="R24" s="15"/>
      <c r="S24" s="1" t="s">
        <v>19</v>
      </c>
      <c r="T24" s="22"/>
      <c r="U24" s="24"/>
      <c r="V24" s="15"/>
      <c r="W24" s="24"/>
      <c r="X24" s="7"/>
      <c r="Y24" s="7"/>
      <c r="Z24" s="126"/>
      <c r="AA24" s="126"/>
      <c r="AB24" s="126"/>
      <c r="AC24" s="126"/>
      <c r="AD24" s="7"/>
      <c r="AE24" s="15"/>
      <c r="AF24" s="26" t="s">
        <v>50</v>
      </c>
      <c r="AG24" s="25"/>
      <c r="AH24" s="145" t="str">
        <f>"50 sf / tree"&amp;IF(Z24="",""," = "&amp;TEXT(Z24*50,"#,##0")&amp;" sf")</f>
        <v>50 sf / tree</v>
      </c>
      <c r="AI24" s="145"/>
      <c r="AJ24" s="145"/>
      <c r="AK24" s="145"/>
      <c r="AL24" s="145"/>
      <c r="AM24" s="145"/>
      <c r="AN24" s="145"/>
      <c r="AO24" s="145"/>
      <c r="AP24" s="145"/>
      <c r="AQ24" s="145"/>
      <c r="AR24" s="145"/>
      <c r="AS24" s="145"/>
      <c r="AT24" s="145"/>
      <c r="AU24" s="7"/>
      <c r="AV24" s="93"/>
      <c r="AW24" s="22"/>
      <c r="AX24" s="22"/>
      <c r="AY24" s="22"/>
      <c r="AZ24" s="22"/>
      <c r="BA24" s="22"/>
      <c r="BB24" s="8"/>
    </row>
    <row r="25" spans="1:60" ht="3.75" customHeight="1" x14ac:dyDescent="0.2">
      <c r="A25" s="6"/>
      <c r="B25" s="7"/>
      <c r="C25" s="14"/>
      <c r="D25" s="7"/>
      <c r="E25" s="7"/>
      <c r="F25" s="7"/>
      <c r="G25" s="7"/>
      <c r="H25" s="7"/>
      <c r="I25" s="7"/>
      <c r="J25" s="7"/>
      <c r="K25" s="7"/>
      <c r="L25" s="7"/>
      <c r="M25" s="7"/>
      <c r="N25" s="7"/>
      <c r="O25" s="15"/>
      <c r="P25" s="15"/>
      <c r="Q25" s="15"/>
      <c r="R25" s="15"/>
      <c r="S25" s="76"/>
      <c r="T25" s="7"/>
      <c r="U25" s="7"/>
      <c r="V25" s="15"/>
      <c r="W25" s="7"/>
      <c r="X25" s="7"/>
      <c r="Y25" s="7"/>
      <c r="Z25" s="7"/>
      <c r="AA25" s="7"/>
      <c r="AB25" s="7"/>
      <c r="AC25" s="7"/>
      <c r="AD25" s="7"/>
      <c r="AE25" s="15"/>
      <c r="AF25" s="16"/>
      <c r="AG25" s="15"/>
      <c r="AH25" s="7"/>
      <c r="AI25" s="7"/>
      <c r="AJ25" s="7"/>
      <c r="AK25" s="7"/>
      <c r="AL25" s="7"/>
      <c r="AM25" s="7"/>
      <c r="AN25" s="7"/>
      <c r="AO25" s="7"/>
      <c r="AP25" s="7"/>
      <c r="AQ25" s="7"/>
      <c r="AR25" s="7"/>
      <c r="AS25" s="7"/>
      <c r="AT25" s="17"/>
      <c r="AU25" s="7"/>
      <c r="AV25" s="7"/>
      <c r="AW25" s="7"/>
      <c r="AX25" s="7"/>
      <c r="AY25" s="7"/>
      <c r="AZ25" s="7"/>
      <c r="BA25" s="7"/>
      <c r="BB25" s="8"/>
    </row>
    <row r="26" spans="1:60" x14ac:dyDescent="0.2">
      <c r="A26" s="6"/>
      <c r="B26" s="7"/>
      <c r="C26" s="14" t="s">
        <v>13</v>
      </c>
      <c r="D26" s="7"/>
      <c r="E26" s="7"/>
      <c r="F26" s="7"/>
      <c r="G26" s="7"/>
      <c r="H26" s="7"/>
      <c r="I26" s="7"/>
      <c r="J26" s="22"/>
      <c r="K26" s="22"/>
      <c r="L26" s="7"/>
      <c r="M26" s="7"/>
      <c r="N26" s="7"/>
      <c r="O26" s="15"/>
      <c r="P26" s="15"/>
      <c r="Q26" s="15"/>
      <c r="R26" s="15"/>
      <c r="S26" s="1" t="s">
        <v>19</v>
      </c>
      <c r="T26" s="22"/>
      <c r="U26" s="24"/>
      <c r="V26" s="15"/>
      <c r="W26" s="24"/>
      <c r="X26" s="7"/>
      <c r="Y26" s="7"/>
      <c r="Z26" s="126"/>
      <c r="AA26" s="126"/>
      <c r="AB26" s="126"/>
      <c r="AC26" s="126"/>
      <c r="AD26" s="7"/>
      <c r="AE26" s="15"/>
      <c r="AF26" s="26" t="s">
        <v>50</v>
      </c>
      <c r="AG26" s="25"/>
      <c r="AH26" s="145" t="str">
        <f>"20 sf / tree"&amp;IF(Z26="",""," = "&amp;TEXT(Z26*20,"#,###0")&amp;" sf")</f>
        <v>20 sf / tree</v>
      </c>
      <c r="AI26" s="145"/>
      <c r="AJ26" s="145"/>
      <c r="AK26" s="145"/>
      <c r="AL26" s="145"/>
      <c r="AM26" s="145"/>
      <c r="AN26" s="145"/>
      <c r="AO26" s="145"/>
      <c r="AP26" s="145"/>
      <c r="AQ26" s="145"/>
      <c r="AR26" s="145"/>
      <c r="AS26" s="145"/>
      <c r="AT26" s="145"/>
      <c r="AU26" s="7"/>
      <c r="AV26" s="7"/>
      <c r="AW26" s="7"/>
      <c r="AX26" s="7"/>
      <c r="AY26" s="7"/>
      <c r="AZ26" s="7"/>
      <c r="BA26" s="7"/>
      <c r="BB26" s="8"/>
    </row>
    <row r="27" spans="1:60" x14ac:dyDescent="0.2">
      <c r="A27" s="6"/>
      <c r="B27" s="7"/>
      <c r="C27" s="136" t="str">
        <f>IF(OR(N18&gt;0,Z18&gt;0,N20&gt;0,Z20&gt;0,Z24&gt;0,Z26&gt;0),"Trees must be within 20 feet of ground level hard surfaces to be included for flow control credit. ","")&amp;IF(AV28=0.25*AE10,"Total tree credit for retained and newly planted trees shall not exceed ","")</f>
        <v/>
      </c>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8"/>
    </row>
    <row r="28" spans="1:60" x14ac:dyDescent="0.2">
      <c r="A28" s="6"/>
      <c r="B28" s="7"/>
      <c r="C28" s="112" t="str">
        <f>IF(AV28=0.25*AE10,"25 percent of the new plus replaced hard surface requiring mitigation","")</f>
        <v/>
      </c>
      <c r="D28" s="7"/>
      <c r="E28" s="7"/>
      <c r="F28" s="7"/>
      <c r="G28" s="7"/>
      <c r="H28" s="7"/>
      <c r="I28" s="7"/>
      <c r="J28" s="22"/>
      <c r="K28" s="22"/>
      <c r="L28" s="7"/>
      <c r="M28" s="7"/>
      <c r="N28" s="7"/>
      <c r="O28" s="15"/>
      <c r="P28" s="15"/>
      <c r="Q28" s="15"/>
      <c r="R28" s="15"/>
      <c r="S28" s="15"/>
      <c r="T28" s="1"/>
      <c r="U28" s="22"/>
      <c r="V28" s="24"/>
      <c r="W28" s="24"/>
      <c r="X28" s="24"/>
      <c r="Y28" s="24"/>
      <c r="Z28" s="24"/>
      <c r="AA28" s="24"/>
      <c r="AB28" s="24"/>
      <c r="AC28" s="24"/>
      <c r="AD28" s="24"/>
      <c r="AE28" s="24"/>
      <c r="AF28" s="88"/>
      <c r="AG28" s="25"/>
      <c r="AH28" s="130" t="s">
        <v>147</v>
      </c>
      <c r="AI28" s="130"/>
      <c r="AJ28" s="130"/>
      <c r="AK28" s="130"/>
      <c r="AL28" s="130"/>
      <c r="AM28" s="130"/>
      <c r="AN28" s="130"/>
      <c r="AO28" s="130"/>
      <c r="AP28" s="130"/>
      <c r="AQ28" s="130"/>
      <c r="AR28" s="130"/>
      <c r="AS28" s="94"/>
      <c r="AT28" s="88" t="str">
        <f>"="</f>
        <v>=</v>
      </c>
      <c r="AU28" s="22"/>
      <c r="AV28" s="131" t="str">
        <f>IF(OR(AE10="",AND(N18="",Z18="",N20="",Z20="",Z24="",Z26="")),"",MIN(0.25*AE10,MAX(0.2*Z18,100*N18)+MAX(0.1*Z20,50*N20)+Z24*50+Z26*20))</f>
        <v/>
      </c>
      <c r="AW28" s="131"/>
      <c r="AX28" s="131"/>
      <c r="AY28" s="131"/>
      <c r="AZ28" s="131"/>
      <c r="BA28" s="22" t="s">
        <v>7</v>
      </c>
      <c r="BB28" s="8"/>
    </row>
    <row r="29" spans="1:60" ht="3.75" customHeight="1" x14ac:dyDescent="0.2">
      <c r="A29" s="6"/>
      <c r="B29" s="7"/>
      <c r="C29" s="7"/>
      <c r="D29" s="7"/>
      <c r="E29" s="7"/>
      <c r="F29" s="7"/>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6"/>
    </row>
    <row r="30" spans="1:60" x14ac:dyDescent="0.2">
      <c r="A30" s="6"/>
      <c r="B30" s="13" t="s">
        <v>14</v>
      </c>
      <c r="C30" s="7"/>
      <c r="D30" s="7"/>
      <c r="E30" s="7"/>
      <c r="F30" s="7"/>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6"/>
    </row>
    <row r="31" spans="1:60" ht="3.75" customHeight="1" x14ac:dyDescent="0.2">
      <c r="A31" s="6"/>
      <c r="B31" s="7"/>
      <c r="C31" s="7"/>
      <c r="D31" s="7"/>
      <c r="E31" s="7"/>
      <c r="F31" s="7"/>
      <c r="G31" s="7"/>
      <c r="H31" s="7"/>
      <c r="I31" s="7"/>
      <c r="J31" s="7"/>
      <c r="K31" s="7"/>
      <c r="L31" s="7"/>
      <c r="M31" s="7"/>
      <c r="N31" s="7"/>
      <c r="O31" s="7"/>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6"/>
    </row>
    <row r="32" spans="1:60" x14ac:dyDescent="0.2">
      <c r="A32" s="6"/>
      <c r="B32" s="7"/>
      <c r="C32" s="14" t="s">
        <v>141</v>
      </c>
      <c r="D32" s="7"/>
      <c r="E32" s="7"/>
      <c r="F32" s="7"/>
      <c r="G32" s="7"/>
      <c r="H32" s="7"/>
      <c r="I32" s="7"/>
      <c r="J32" s="7"/>
      <c r="K32" s="7"/>
      <c r="L32" s="7"/>
      <c r="M32" s="7"/>
      <c r="N32" s="7"/>
      <c r="O32" s="7"/>
      <c r="P32" s="91" t="s">
        <v>142</v>
      </c>
      <c r="Q32" s="15"/>
      <c r="R32" s="7"/>
      <c r="S32" s="7"/>
      <c r="T32" s="7"/>
      <c r="U32" s="7"/>
      <c r="V32" s="7"/>
      <c r="W32" s="7"/>
      <c r="X32" s="15"/>
      <c r="Y32" s="7"/>
      <c r="Z32" s="126"/>
      <c r="AA32" s="126"/>
      <c r="AB32" s="126"/>
      <c r="AC32" s="126"/>
      <c r="AD32" s="22" t="s">
        <v>7</v>
      </c>
      <c r="AE32" s="25"/>
      <c r="AF32" s="87" t="s">
        <v>50</v>
      </c>
      <c r="AG32" s="25"/>
      <c r="AH32" s="132">
        <v>1</v>
      </c>
      <c r="AI32" s="132"/>
      <c r="AJ32" s="132"/>
      <c r="AK32" s="132"/>
      <c r="AL32" s="132"/>
      <c r="AM32" s="132"/>
      <c r="AN32" s="132"/>
      <c r="AO32" s="132"/>
      <c r="AP32" s="132"/>
      <c r="AQ32" s="132"/>
      <c r="AR32" s="132"/>
      <c r="AS32" s="22"/>
      <c r="AT32" s="87" t="str">
        <f>"="</f>
        <v>=</v>
      </c>
      <c r="AU32" s="22"/>
      <c r="AV32" s="131" t="str">
        <f>IFERROR(IF(Z32="","",Z32*AH32),"")</f>
        <v/>
      </c>
      <c r="AW32" s="131"/>
      <c r="AX32" s="131"/>
      <c r="AY32" s="131"/>
      <c r="AZ32" s="131"/>
      <c r="BA32" s="22" t="s">
        <v>7</v>
      </c>
      <c r="BB32" s="8"/>
    </row>
    <row r="33" spans="1:84" ht="22.5" customHeight="1" x14ac:dyDescent="0.2">
      <c r="A33" s="6"/>
      <c r="C33" s="140" t="str">
        <f>IF(Z32&gt;0,"Requirements for full dispersion are difficult to achieve (e.g., developments must preserve 65% of a site in a forested or native condition and limit the impervious site coverage to 10% in residential settings).","")</f>
        <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8"/>
    </row>
    <row r="34" spans="1:84" x14ac:dyDescent="0.2">
      <c r="A34" s="6"/>
      <c r="B34" s="7"/>
      <c r="C34" s="14" t="s">
        <v>143</v>
      </c>
      <c r="D34" s="7"/>
      <c r="E34" s="7"/>
      <c r="F34" s="7"/>
      <c r="G34" s="7"/>
      <c r="H34" s="7"/>
      <c r="I34" s="7"/>
      <c r="J34" s="7"/>
      <c r="K34" s="7"/>
      <c r="L34" s="7"/>
      <c r="M34" s="7"/>
      <c r="N34" s="7"/>
      <c r="O34" s="7"/>
      <c r="P34" s="7"/>
      <c r="Q34" s="15"/>
      <c r="R34" s="7"/>
      <c r="S34" s="7"/>
      <c r="T34" s="7"/>
      <c r="U34" s="7"/>
      <c r="V34" s="7"/>
      <c r="W34" s="7"/>
      <c r="X34" s="7"/>
      <c r="Y34" s="7"/>
      <c r="Z34" s="7"/>
      <c r="AA34" s="7"/>
      <c r="AB34" s="7"/>
      <c r="AC34" s="7"/>
      <c r="AD34" s="7"/>
      <c r="AE34" s="15"/>
      <c r="AF34" s="7"/>
      <c r="AG34" s="15"/>
      <c r="AH34" s="7"/>
      <c r="AI34" s="7"/>
      <c r="AJ34" s="7"/>
      <c r="AK34" s="7"/>
      <c r="AL34" s="7"/>
      <c r="AM34" s="7"/>
      <c r="AN34" s="7"/>
      <c r="AO34" s="7"/>
      <c r="AP34" s="7"/>
      <c r="AQ34" s="7"/>
      <c r="AR34" s="7"/>
      <c r="AS34" s="7"/>
      <c r="AT34" s="17"/>
      <c r="AU34" s="7"/>
      <c r="AV34" s="7"/>
      <c r="AW34" s="7"/>
      <c r="AX34" s="7"/>
      <c r="AY34" s="7"/>
      <c r="AZ34" s="7"/>
      <c r="BA34" s="7"/>
      <c r="BB34" s="8"/>
    </row>
    <row r="35" spans="1:84" ht="3.75" customHeight="1" x14ac:dyDescent="0.2">
      <c r="A35" s="6"/>
      <c r="B35" s="7"/>
      <c r="C35" s="7"/>
      <c r="D35" s="7"/>
      <c r="E35" s="7"/>
      <c r="F35" s="7"/>
      <c r="G35" s="7"/>
      <c r="H35" s="7"/>
      <c r="I35" s="7"/>
      <c r="J35" s="7"/>
      <c r="K35" s="7"/>
      <c r="L35" s="7"/>
      <c r="M35" s="7"/>
      <c r="N35" s="7"/>
      <c r="O35" s="7"/>
      <c r="P35" s="7"/>
      <c r="Q35" s="15"/>
      <c r="R35" s="7"/>
      <c r="S35" s="7"/>
      <c r="T35" s="7"/>
      <c r="U35" s="7"/>
      <c r="V35" s="7"/>
      <c r="W35" s="7"/>
      <c r="X35" s="7"/>
      <c r="Y35" s="7"/>
      <c r="Z35" s="7"/>
      <c r="AA35" s="7"/>
      <c r="AB35" s="7"/>
      <c r="AC35" s="7"/>
      <c r="AD35" s="7"/>
      <c r="AE35" s="15"/>
      <c r="AF35" s="7"/>
      <c r="AG35" s="15"/>
      <c r="AH35" s="7"/>
      <c r="AI35" s="7"/>
      <c r="AJ35" s="7"/>
      <c r="AK35" s="7"/>
      <c r="AL35" s="7"/>
      <c r="AM35" s="7"/>
      <c r="AN35" s="7"/>
      <c r="AO35" s="7"/>
      <c r="AP35" s="7"/>
      <c r="AQ35" s="7"/>
      <c r="AR35" s="7"/>
      <c r="AS35" s="7"/>
      <c r="AT35" s="17"/>
      <c r="AU35" s="7"/>
      <c r="AV35" s="7"/>
      <c r="AW35" s="7"/>
      <c r="AX35" s="7"/>
      <c r="AY35" s="7"/>
      <c r="AZ35" s="7"/>
      <c r="BA35" s="7"/>
      <c r="BB35" s="8"/>
    </row>
    <row r="36" spans="1:84" s="28" customFormat="1" x14ac:dyDescent="0.2">
      <c r="A36" s="21"/>
      <c r="B36" s="22"/>
      <c r="C36" s="22"/>
      <c r="D36" s="22"/>
      <c r="E36" s="22"/>
      <c r="F36" s="22"/>
      <c r="G36" s="22"/>
      <c r="H36" s="22"/>
      <c r="I36" s="22"/>
      <c r="J36" s="22"/>
      <c r="K36" s="22"/>
      <c r="L36" s="22"/>
      <c r="M36" s="22"/>
      <c r="N36" s="22"/>
      <c r="O36" s="1"/>
      <c r="P36" s="1" t="s">
        <v>49</v>
      </c>
      <c r="Q36" s="25"/>
      <c r="R36" s="22"/>
      <c r="S36" s="22"/>
      <c r="T36" s="22"/>
      <c r="U36" s="22"/>
      <c r="V36" s="22"/>
      <c r="W36" s="22"/>
      <c r="X36" s="25"/>
      <c r="Y36" s="24"/>
      <c r="Z36" s="126"/>
      <c r="AA36" s="126"/>
      <c r="AB36" s="126"/>
      <c r="AC36" s="126"/>
      <c r="AD36" s="22" t="s">
        <v>7</v>
      </c>
      <c r="AE36" s="25"/>
      <c r="AF36" s="26" t="s">
        <v>50</v>
      </c>
      <c r="AG36" s="25"/>
      <c r="AH36" s="132" t="str">
        <f>IF(Standard="Pre-developed Pasture Standard",0.91,IF(Standard="Peak Control Standard",0.94,IF(Standard="Pre-developed Pasture and Peak Control Standards",0.91,"Select flow control standard")))</f>
        <v>Select flow control standard</v>
      </c>
      <c r="AI36" s="132"/>
      <c r="AJ36" s="132"/>
      <c r="AK36" s="132"/>
      <c r="AL36" s="132"/>
      <c r="AM36" s="132"/>
      <c r="AN36" s="132"/>
      <c r="AO36" s="132"/>
      <c r="AP36" s="132"/>
      <c r="AQ36" s="132"/>
      <c r="AR36" s="132"/>
      <c r="AS36" s="22"/>
      <c r="AT36" s="26" t="str">
        <f>"="</f>
        <v>=</v>
      </c>
      <c r="AU36" s="22"/>
      <c r="AV36" s="131" t="str">
        <f>IFERROR(IF(Z36="","",Z36*AH36),"")</f>
        <v/>
      </c>
      <c r="AW36" s="131"/>
      <c r="AX36" s="131"/>
      <c r="AY36" s="131"/>
      <c r="AZ36" s="131"/>
      <c r="BA36" s="22" t="s">
        <v>7</v>
      </c>
      <c r="BB36" s="27"/>
      <c r="BQ36" s="2"/>
      <c r="BR36" s="2"/>
      <c r="BS36" s="2"/>
      <c r="BT36" s="2"/>
      <c r="BU36" s="2"/>
      <c r="BV36" s="2"/>
      <c r="BW36" s="2"/>
      <c r="BX36" s="2"/>
      <c r="BY36" s="2"/>
      <c r="BZ36" s="2"/>
      <c r="CA36" s="2"/>
      <c r="CB36" s="2"/>
      <c r="CC36" s="2"/>
      <c r="CD36" s="2"/>
      <c r="CE36" s="2"/>
      <c r="CF36" s="2"/>
    </row>
    <row r="37" spans="1:84" ht="3.75" customHeight="1" x14ac:dyDescent="0.2">
      <c r="A37" s="6"/>
      <c r="B37" s="7"/>
      <c r="C37" s="14"/>
      <c r="D37" s="7"/>
      <c r="E37" s="7"/>
      <c r="F37" s="7"/>
      <c r="G37" s="7"/>
      <c r="H37" s="7"/>
      <c r="I37" s="7"/>
      <c r="J37" s="7"/>
      <c r="K37" s="7"/>
      <c r="L37" s="7"/>
      <c r="M37" s="7"/>
      <c r="N37" s="7"/>
      <c r="O37" s="7"/>
      <c r="P37" s="7"/>
      <c r="Q37" s="15"/>
      <c r="R37" s="7"/>
      <c r="S37" s="7"/>
      <c r="T37" s="7"/>
      <c r="U37" s="7"/>
      <c r="V37" s="7"/>
      <c r="W37" s="7"/>
      <c r="X37" s="7"/>
      <c r="Y37" s="7"/>
      <c r="Z37" s="7"/>
      <c r="AA37" s="7"/>
      <c r="AB37" s="7"/>
      <c r="AC37" s="7"/>
      <c r="AD37" s="7"/>
      <c r="AE37" s="15"/>
      <c r="AF37" s="7"/>
      <c r="AG37" s="15"/>
      <c r="AH37" s="7"/>
      <c r="AI37" s="7"/>
      <c r="AJ37" s="7"/>
      <c r="AK37" s="7"/>
      <c r="AL37" s="7"/>
      <c r="AM37" s="7"/>
      <c r="AN37" s="7"/>
      <c r="AO37" s="7"/>
      <c r="AP37" s="7"/>
      <c r="AQ37" s="7"/>
      <c r="AR37" s="7"/>
      <c r="AS37" s="7"/>
      <c r="AT37" s="17"/>
      <c r="AU37" s="7"/>
      <c r="AV37" s="7"/>
      <c r="AW37" s="7"/>
      <c r="AX37" s="7"/>
      <c r="AY37" s="7"/>
      <c r="AZ37" s="7"/>
      <c r="BA37" s="7"/>
      <c r="BB37" s="8"/>
    </row>
    <row r="38" spans="1:84" s="58" customFormat="1" x14ac:dyDescent="0.2">
      <c r="A38" s="107" t="s">
        <v>21</v>
      </c>
      <c r="B38" s="108"/>
      <c r="C38" s="108"/>
      <c r="D38" s="108"/>
      <c r="E38" s="108"/>
      <c r="F38" s="108"/>
      <c r="G38" s="108"/>
      <c r="H38" s="108"/>
      <c r="I38" s="108"/>
      <c r="J38" s="108"/>
      <c r="K38" s="108"/>
      <c r="L38" s="108"/>
      <c r="M38" s="108"/>
      <c r="N38" s="108"/>
      <c r="O38" s="108"/>
      <c r="P38" s="108"/>
      <c r="Q38" s="119" t="s">
        <v>15</v>
      </c>
      <c r="R38" s="119"/>
      <c r="S38" s="119"/>
      <c r="T38" s="119"/>
      <c r="U38" s="119"/>
      <c r="V38" s="119"/>
      <c r="W38" s="119"/>
      <c r="X38" s="119"/>
      <c r="Y38" s="119"/>
      <c r="Z38" s="119"/>
      <c r="AA38" s="119"/>
      <c r="AB38" s="119"/>
      <c r="AC38" s="119"/>
      <c r="AD38" s="119"/>
      <c r="AE38" s="108"/>
      <c r="AF38" s="108"/>
      <c r="AG38" s="108"/>
      <c r="AH38" s="119" t="s">
        <v>22</v>
      </c>
      <c r="AI38" s="119"/>
      <c r="AJ38" s="119"/>
      <c r="AK38" s="119"/>
      <c r="AL38" s="119"/>
      <c r="AM38" s="119"/>
      <c r="AN38" s="119"/>
      <c r="AO38" s="119"/>
      <c r="AP38" s="119"/>
      <c r="AQ38" s="119"/>
      <c r="AR38" s="119"/>
      <c r="AS38" s="108"/>
      <c r="AT38" s="108"/>
      <c r="AU38" s="108"/>
      <c r="AV38" s="119" t="s">
        <v>17</v>
      </c>
      <c r="AW38" s="119"/>
      <c r="AX38" s="119"/>
      <c r="AY38" s="119"/>
      <c r="AZ38" s="119"/>
      <c r="BA38" s="119"/>
      <c r="BB38" s="109"/>
      <c r="BD38" s="89"/>
    </row>
    <row r="39" spans="1:84" ht="3.75" customHeight="1" x14ac:dyDescent="0.2">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8"/>
    </row>
    <row r="40" spans="1:84" x14ac:dyDescent="0.2">
      <c r="A40" s="6"/>
      <c r="B40" s="13" t="s">
        <v>26</v>
      </c>
      <c r="C40" s="1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8"/>
    </row>
    <row r="41" spans="1:84" ht="3.75" customHeight="1" x14ac:dyDescent="0.2">
      <c r="A41" s="6"/>
      <c r="B41" s="14"/>
      <c r="C41" s="14"/>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117" t="str">
        <f>IF(Standard="","Select flow control standard",IF(K44="","Enter contributing area",IF(K46="","Select ponding depth",IF(K48="","Select infiltration rate",IF(K50="","Select sideslopes",
IF(Standard="Pre-Developed Pasture Standard", IFERROR(BG46,BI46),
IF(Standard="Peak Control Standard", IFERROR(BG48,BI48),
IF(Standard="Pre-developed Pasture and Peak Control Standards", IFERROR(IF($BH$46&lt;$BH$48,$BG$46,$BG$48),$BI$48), "Select flow control standard."))))))))</f>
        <v>Select flow control standard</v>
      </c>
      <c r="AI41" s="117"/>
      <c r="AJ41" s="117"/>
      <c r="AK41" s="117"/>
      <c r="AL41" s="117"/>
      <c r="AM41" s="117"/>
      <c r="AN41" s="117"/>
      <c r="AO41" s="117"/>
      <c r="AP41" s="117"/>
      <c r="AQ41" s="117"/>
      <c r="AR41" s="117"/>
      <c r="AS41" s="7"/>
      <c r="AT41" s="7"/>
      <c r="AU41" s="7"/>
      <c r="AV41" s="7"/>
      <c r="AW41" s="7"/>
      <c r="AX41" s="7"/>
      <c r="AY41" s="7"/>
      <c r="AZ41" s="7"/>
      <c r="BA41" s="7"/>
      <c r="BB41" s="8"/>
    </row>
    <row r="42" spans="1:84" ht="12" customHeight="1" x14ac:dyDescent="0.2">
      <c r="A42" s="6"/>
      <c r="B42" s="14"/>
      <c r="C42" s="14" t="s">
        <v>140</v>
      </c>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117"/>
      <c r="AI42" s="117"/>
      <c r="AJ42" s="117"/>
      <c r="AK42" s="117"/>
      <c r="AL42" s="117"/>
      <c r="AM42" s="117"/>
      <c r="AN42" s="117"/>
      <c r="AO42" s="117"/>
      <c r="AP42" s="117"/>
      <c r="AQ42" s="117"/>
      <c r="AR42" s="117"/>
      <c r="AS42" s="7"/>
      <c r="AT42" s="7"/>
      <c r="AU42" s="7"/>
      <c r="AV42" s="7"/>
      <c r="AW42" s="7"/>
      <c r="AX42" s="7"/>
      <c r="AY42" s="7"/>
      <c r="AZ42" s="7"/>
      <c r="BA42" s="7"/>
      <c r="BB42" s="8"/>
      <c r="BD42" s="58" t="str">
        <f>C42</f>
        <v>Bioretention without Underdrain</v>
      </c>
      <c r="BE42" s="28"/>
      <c r="BF42" s="28"/>
      <c r="BG42" s="28"/>
      <c r="BH42" s="28"/>
      <c r="BI42" s="28"/>
    </row>
    <row r="43" spans="1:84" ht="3.75" customHeight="1" x14ac:dyDescent="0.2">
      <c r="A43" s="6"/>
      <c r="B43" s="14"/>
      <c r="C43" s="14"/>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117"/>
      <c r="AI43" s="117"/>
      <c r="AJ43" s="117"/>
      <c r="AK43" s="117"/>
      <c r="AL43" s="117"/>
      <c r="AM43" s="117"/>
      <c r="AN43" s="117"/>
      <c r="AO43" s="117"/>
      <c r="AP43" s="117"/>
      <c r="AQ43" s="117"/>
      <c r="AR43" s="117"/>
      <c r="AS43" s="7"/>
      <c r="AT43" s="7"/>
      <c r="AU43" s="7"/>
      <c r="AV43" s="7"/>
      <c r="AW43" s="7"/>
      <c r="AX43" s="7"/>
      <c r="AY43" s="7"/>
      <c r="AZ43" s="7"/>
      <c r="BA43" s="7"/>
      <c r="BB43" s="8"/>
      <c r="BD43" s="28"/>
      <c r="BE43" s="28"/>
      <c r="BF43" s="28"/>
      <c r="BG43" s="28"/>
      <c r="BH43" s="28"/>
      <c r="BI43" s="28"/>
    </row>
    <row r="44" spans="1:84" s="28" customFormat="1" x14ac:dyDescent="0.2">
      <c r="A44" s="21"/>
      <c r="B44" s="23"/>
      <c r="C44" s="23"/>
      <c r="D44" s="22" t="s">
        <v>23</v>
      </c>
      <c r="E44" s="22"/>
      <c r="F44" s="22"/>
      <c r="G44" s="22"/>
      <c r="H44" s="22"/>
      <c r="I44" s="22"/>
      <c r="J44" s="22"/>
      <c r="K44" s="126"/>
      <c r="L44" s="126"/>
      <c r="M44" s="126"/>
      <c r="N44" s="126"/>
      <c r="O44" s="22" t="s">
        <v>7</v>
      </c>
      <c r="P44" s="22"/>
      <c r="Q44" s="1" t="s">
        <v>51</v>
      </c>
      <c r="R44" s="22"/>
      <c r="S44" s="22"/>
      <c r="T44" s="22"/>
      <c r="U44" s="22"/>
      <c r="V44" s="29"/>
      <c r="W44" s="29"/>
      <c r="X44" s="29"/>
      <c r="Y44" s="24" t="str">
        <f>IFERROR(IF(AND(AH41=BG46,BF46&gt;0),"[ ",""),"")</f>
        <v/>
      </c>
      <c r="Z44" s="126"/>
      <c r="AA44" s="126"/>
      <c r="AB44" s="126"/>
      <c r="AC44" s="126"/>
      <c r="AD44" s="22" t="s">
        <v>7</v>
      </c>
      <c r="AE44" s="22"/>
      <c r="AF44" s="77" t="str">
        <f>IFERROR(IF(AND(AH41=BG46,BF46&lt;&gt;0),IF(BF46&gt;0,"-","+"),"÷"),":")</f>
        <v>:</v>
      </c>
      <c r="AG44" s="22"/>
      <c r="AH44" s="118"/>
      <c r="AI44" s="118"/>
      <c r="AJ44" s="118"/>
      <c r="AK44" s="118"/>
      <c r="AL44" s="118"/>
      <c r="AM44" s="118"/>
      <c r="AN44" s="118"/>
      <c r="AO44" s="118"/>
      <c r="AP44" s="118"/>
      <c r="AQ44" s="118"/>
      <c r="AR44" s="118"/>
      <c r="AS44" s="22"/>
      <c r="AT44" s="26" t="s">
        <v>131</v>
      </c>
      <c r="AU44" s="22"/>
      <c r="AV44" s="131" t="str">
        <f>IF(K44="","",IFERROR(IF(Standard="Pre-Developed Pasture Standard",MIN(K44,BH46),IF(Standard="Peak Control Standard",MIN(K44,BH48),IF(Standard="Pre-Developed Pasture and Peak Control Standards",MIN(K44,BH46,BH48),""))),""))</f>
        <v/>
      </c>
      <c r="AW44" s="131"/>
      <c r="AX44" s="131"/>
      <c r="AY44" s="131"/>
      <c r="AZ44" s="131"/>
      <c r="BA44" s="22" t="s">
        <v>7</v>
      </c>
      <c r="BB44" s="27"/>
      <c r="BD44" s="28" t="s">
        <v>90</v>
      </c>
      <c r="BE44" s="59" t="s">
        <v>84</v>
      </c>
      <c r="BF44" s="59" t="s">
        <v>85</v>
      </c>
      <c r="BG44" s="59" t="s">
        <v>89</v>
      </c>
      <c r="BH44" s="59" t="s">
        <v>17</v>
      </c>
      <c r="BI44" s="59" t="s">
        <v>92</v>
      </c>
      <c r="BJ44" s="2"/>
      <c r="BK44" s="2"/>
      <c r="BL44" s="2"/>
      <c r="BM44" s="2"/>
      <c r="BN44" s="2"/>
      <c r="BO44" s="2"/>
      <c r="BP44" s="2"/>
      <c r="BQ44" s="2"/>
      <c r="BR44" s="2"/>
      <c r="BS44" s="2"/>
      <c r="BT44" s="2"/>
      <c r="BU44" s="2"/>
      <c r="BV44" s="2"/>
      <c r="BW44" s="2"/>
      <c r="BX44" s="2"/>
      <c r="BY44" s="2"/>
      <c r="BZ44" s="2"/>
      <c r="CA44" s="2"/>
      <c r="CB44" s="2"/>
      <c r="CC44" s="2"/>
      <c r="CD44" s="2"/>
      <c r="CE44" s="2"/>
      <c r="CF44" s="2"/>
    </row>
    <row r="45" spans="1:84" ht="3.75" customHeight="1" x14ac:dyDescent="0.2">
      <c r="A45" s="6"/>
      <c r="B45" s="14"/>
      <c r="C45" s="14"/>
      <c r="D45" s="7"/>
      <c r="E45" s="7"/>
      <c r="F45" s="7"/>
      <c r="G45" s="7"/>
      <c r="H45" s="7"/>
      <c r="I45" s="7"/>
      <c r="J45" s="7"/>
      <c r="K45" s="7"/>
      <c r="L45" s="7"/>
      <c r="M45" s="7"/>
      <c r="N45" s="7"/>
      <c r="O45" s="7"/>
      <c r="P45" s="7"/>
      <c r="Q45" s="9"/>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8"/>
      <c r="BD45" s="28"/>
      <c r="BE45" s="28"/>
      <c r="BF45" s="28"/>
      <c r="BG45" s="28"/>
      <c r="BH45" s="28"/>
      <c r="BI45" s="28"/>
    </row>
    <row r="46" spans="1:84" s="28" customFormat="1" x14ac:dyDescent="0.2">
      <c r="A46" s="21"/>
      <c r="B46" s="23"/>
      <c r="C46" s="23"/>
      <c r="D46" s="22" t="s">
        <v>24</v>
      </c>
      <c r="E46" s="22"/>
      <c r="F46" s="22"/>
      <c r="G46" s="22"/>
      <c r="H46" s="22"/>
      <c r="I46" s="22"/>
      <c r="J46" s="22"/>
      <c r="K46" s="144"/>
      <c r="L46" s="144"/>
      <c r="M46" s="144"/>
      <c r="N46" s="144"/>
      <c r="O46" s="22" t="s">
        <v>52</v>
      </c>
      <c r="P46" s="22"/>
      <c r="Q46" s="143" t="str">
        <f>IF(K44="","",IFERROR(
IF(Standard="Pre-Developed Pasture Standard",
IF(Z44&gt;ROUNDUP(K44*BE46+BF46,0),"Bioretention facility can be reduced to "&amp;TEXT(ROUNDUP(K44*BE46+BF46,0),"#,##0")&amp; " sf",
IF(Z44&lt;ROUNDUP(K44*BE46+BF46,0), "Bioretention facility to fully manage area is "&amp;TEXT(ROUNDUP(K44*BE46+BF46,0),"#,##0")&amp; " sf","")),
IF(Standard="Peak Control Standard",
IF(Z44&gt;ROUNDUP(K44*BE48+BF48,0),"Bioretention facility can be reduced to "&amp;TEXT(ROUNDUP(K44*BE48+BF48,0),"#,##0")&amp;" sf",
IF(Z44&lt;ROUNDUP(K44*BE48+BF48,0),"Bioretention facility to fully manage area is  "&amp;TEXT(ROUNDUP(K44*BE48+BF48,0),"#,##0")&amp;" sf","")),
IF(Standard="Pre-developed Pasture and Peak Control Standards",
IF(Z44&gt;ROUNDUP(MAX(K44*BE46+BF46,K44*BE48+BF48),0),"Bioretention facility can be reduced to "&amp;TEXT(ROUNDUP(MAX(K44*BE46+BF46,K44*BE48+BF48),0),"#,##0")&amp;" sf",
IF(Z44&lt;ROUNDUP(MAX(K44*BE46+BF46,K44*BE48+BF48),0),"Bioretention facility to fully manage area is "&amp;TEXT(ROUNDUP(MAX(K44*BE46+BF46,K44*BE48+BF48),0),"#,##0")&amp;" sf","")),""))),""))</f>
        <v/>
      </c>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22"/>
      <c r="BB46" s="27"/>
      <c r="BD46" s="28" t="s">
        <v>9</v>
      </c>
      <c r="BE46" s="59" t="e">
        <f>INDEX('Sizing Factors'!$H:$H,MATCH(C42&amp;K50&amp;K46&amp;K48&amp;IF(K44&lt;=2000,"02000",IF(K44&lt;=10000,"200010000","x"))&amp;$BD$46,'Sizing Factors'!$K:$K,0))</f>
        <v>#N/A</v>
      </c>
      <c r="BF46" s="59" t="e">
        <f>INDEX('Sizing Factors'!$I:$I,MATCH(C42&amp;K50&amp;K46&amp;K48&amp;IF(K44&lt;=2000,"02000",IF(K44&lt;=10000,"200010000","x"))&amp;$BD$46,'Sizing Factors'!$K:$K,0))</f>
        <v>#N/A</v>
      </c>
      <c r="BG46" s="59" t="e">
        <f>IF(BF46=0,
BE46*100&amp;"%",
ABS(BF46)&amp;" ] ÷ "&amp;BE46)</f>
        <v>#N/A</v>
      </c>
      <c r="BH46" s="60" t="e">
        <f>MAX(($Z$44-$BF$46)/$BE$46,0)</f>
        <v>#N/A</v>
      </c>
      <c r="BI46" s="68" t="e">
        <f>IF(K44&gt;10000,"Not applicable for contributing area &gt; 10,000 sf",INDEX('Sizing Factors'!$J:$J,MATCH(C42&amp;K50&amp;K46&amp;K48&amp;IF(K44&lt;=2000,"02000",IF(K44&lt;=10000,"200010000","x"))&amp;$BD$46,'Sizing Factors'!$K:$K,0)))</f>
        <v>#N/A</v>
      </c>
      <c r="BJ46" s="2"/>
      <c r="BK46" s="2"/>
      <c r="BL46" s="2"/>
      <c r="BM46" s="2"/>
      <c r="BN46" s="2"/>
      <c r="BO46" s="2"/>
      <c r="BP46" s="2"/>
      <c r="BQ46" s="2"/>
      <c r="BR46" s="2"/>
      <c r="BS46" s="2"/>
      <c r="BT46" s="2"/>
      <c r="BU46" s="2"/>
      <c r="BV46" s="2"/>
      <c r="BW46" s="2"/>
      <c r="BX46" s="2"/>
      <c r="BY46" s="2"/>
      <c r="BZ46" s="2"/>
      <c r="CA46" s="2"/>
      <c r="CB46" s="2"/>
      <c r="CC46" s="2"/>
      <c r="CD46" s="2"/>
      <c r="CE46" s="2"/>
      <c r="CF46" s="2"/>
    </row>
    <row r="47" spans="1:84" ht="3.75" customHeight="1" x14ac:dyDescent="0.2">
      <c r="A47" s="6"/>
      <c r="B47" s="14"/>
      <c r="C47" s="14"/>
      <c r="D47" s="7"/>
      <c r="E47" s="7"/>
      <c r="F47" s="7"/>
      <c r="G47" s="7"/>
      <c r="H47" s="7"/>
      <c r="I47" s="7"/>
      <c r="J47" s="7"/>
      <c r="K47" s="7"/>
      <c r="L47" s="7"/>
      <c r="M47" s="7"/>
      <c r="N47" s="7"/>
      <c r="O47" s="7"/>
      <c r="P47" s="7"/>
      <c r="Q47" s="9"/>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8"/>
      <c r="BD47" s="28"/>
      <c r="BE47" s="59"/>
      <c r="BF47" s="59"/>
      <c r="BG47" s="59"/>
      <c r="BH47" s="59"/>
      <c r="BI47" s="59"/>
    </row>
    <row r="48" spans="1:84" s="28" customFormat="1" x14ac:dyDescent="0.2">
      <c r="A48" s="21"/>
      <c r="B48" s="23"/>
      <c r="C48" s="23"/>
      <c r="D48" s="22" t="s">
        <v>149</v>
      </c>
      <c r="E48" s="22"/>
      <c r="F48" s="22"/>
      <c r="G48" s="22"/>
      <c r="H48" s="22"/>
      <c r="I48" s="22"/>
      <c r="J48" s="22"/>
      <c r="K48" s="144"/>
      <c r="L48" s="144"/>
      <c r="M48" s="144"/>
      <c r="N48" s="144"/>
      <c r="O48" s="22" t="s">
        <v>53</v>
      </c>
      <c r="P48" s="22"/>
      <c r="Q48" s="1"/>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7"/>
      <c r="BD48" s="28" t="s">
        <v>82</v>
      </c>
      <c r="BE48" s="59" t="e">
        <f>IF(K44&gt;10000,"NA",INDEX('Sizing Factors'!$H:$H,MATCH(C42&amp;K50&amp;K46&amp;K48&amp;$BD$48,'Sizing Factors'!$K:$K,0)))</f>
        <v>#N/A</v>
      </c>
      <c r="BF48" s="59" t="e">
        <f>INDEX('Sizing Factors'!$I:$I,MATCH(C42&amp;K50&amp;K46&amp;K48&amp;$BD$48,'Sizing Factors'!$K:$K,0))</f>
        <v>#N/A</v>
      </c>
      <c r="BG48" s="59" t="e">
        <f>IF(BF48=0,
BE48*100&amp;"%",
BF48&amp;" ] ÷ "&amp;BE48)</f>
        <v>#N/A</v>
      </c>
      <c r="BH48" s="60" t="e">
        <f>($Z$44-$BF$48)/$BE$48</f>
        <v>#N/A</v>
      </c>
      <c r="BI48" s="68" t="e">
        <f>IF(K44&gt;10000,"Not applicable for contributing area &gt; 10,000 sf",INDEX('Sizing Factors'!$J:$J,MATCH(C42&amp;K50&amp;K46&amp;K48&amp;$BD$48,'Sizing Factors'!$K:$K,0)))</f>
        <v>#N/A</v>
      </c>
      <c r="BJ48" s="2"/>
      <c r="BK48" s="2"/>
      <c r="BL48" s="2"/>
      <c r="BM48" s="2"/>
      <c r="BN48" s="2"/>
      <c r="BO48" s="2"/>
      <c r="BP48" s="2"/>
      <c r="BQ48" s="2"/>
      <c r="BR48" s="2"/>
      <c r="BS48" s="2"/>
      <c r="BT48" s="2"/>
      <c r="BU48" s="2"/>
      <c r="BV48" s="2"/>
      <c r="BW48" s="2"/>
      <c r="BX48" s="2"/>
      <c r="BY48" s="2"/>
      <c r="BZ48" s="2"/>
      <c r="CA48" s="2"/>
      <c r="CB48" s="2"/>
      <c r="CC48" s="2"/>
      <c r="CD48" s="2"/>
      <c r="CE48" s="2"/>
      <c r="CF48" s="2"/>
    </row>
    <row r="49" spans="1:75" ht="3.75" customHeight="1" x14ac:dyDescent="0.2">
      <c r="A49" s="6"/>
      <c r="B49" s="14"/>
      <c r="C49" s="14"/>
      <c r="D49" s="7"/>
      <c r="E49" s="7"/>
      <c r="F49" s="7"/>
      <c r="G49" s="7"/>
      <c r="H49" s="7"/>
      <c r="I49" s="7"/>
      <c r="J49" s="7"/>
      <c r="K49" s="7"/>
      <c r="L49" s="7"/>
      <c r="M49" s="7"/>
      <c r="N49" s="7"/>
      <c r="O49" s="7"/>
      <c r="P49" s="7"/>
      <c r="Q49" s="9"/>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8"/>
      <c r="BD49" s="28"/>
      <c r="BE49" s="28"/>
      <c r="BF49" s="28"/>
      <c r="BG49" s="28"/>
      <c r="BH49" s="28"/>
      <c r="BI49" s="28"/>
    </row>
    <row r="50" spans="1:75" s="28" customFormat="1" ht="12" customHeight="1" x14ac:dyDescent="0.2">
      <c r="A50" s="21"/>
      <c r="B50" s="23"/>
      <c r="C50" s="23"/>
      <c r="D50" s="22" t="s">
        <v>64</v>
      </c>
      <c r="E50" s="22"/>
      <c r="F50" s="22"/>
      <c r="G50" s="22"/>
      <c r="H50" s="22"/>
      <c r="I50" s="22"/>
      <c r="J50" s="22"/>
      <c r="K50" s="144"/>
      <c r="L50" s="144"/>
      <c r="M50" s="144"/>
      <c r="N50" s="144"/>
      <c r="O50" s="22"/>
      <c r="P50" s="22"/>
      <c r="Q50" s="1"/>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7"/>
      <c r="BP50" s="2"/>
      <c r="BQ50" s="2"/>
      <c r="BR50" s="2"/>
      <c r="BS50" s="2"/>
      <c r="BT50" s="2"/>
      <c r="BU50" s="2"/>
      <c r="BV50" s="2"/>
      <c r="BW50" s="2"/>
    </row>
    <row r="51" spans="1:75" ht="3.75" customHeight="1" x14ac:dyDescent="0.2">
      <c r="A51" s="6"/>
      <c r="B51" s="14"/>
      <c r="C51" s="14"/>
      <c r="D51" s="7"/>
      <c r="E51" s="7"/>
      <c r="F51" s="7"/>
      <c r="G51" s="7"/>
      <c r="H51" s="7"/>
      <c r="I51" s="7"/>
      <c r="J51" s="7"/>
      <c r="K51" s="7"/>
      <c r="L51" s="7"/>
      <c r="M51" s="7"/>
      <c r="N51" s="7"/>
      <c r="O51" s="7"/>
      <c r="P51" s="7"/>
      <c r="Q51" s="9"/>
      <c r="R51" s="7"/>
      <c r="S51" s="7"/>
      <c r="T51" s="7"/>
      <c r="U51" s="7"/>
      <c r="V51" s="7"/>
      <c r="W51" s="7"/>
      <c r="X51" s="7"/>
      <c r="Y51" s="7"/>
      <c r="Z51" s="7"/>
      <c r="AA51" s="7"/>
      <c r="AB51" s="7"/>
      <c r="AC51" s="7"/>
      <c r="AD51" s="7"/>
      <c r="AE51" s="7"/>
      <c r="AF51" s="7"/>
      <c r="AG51" s="7"/>
      <c r="AH51" s="57"/>
      <c r="AI51" s="57"/>
      <c r="AJ51" s="57"/>
      <c r="AK51" s="57"/>
      <c r="AL51" s="57"/>
      <c r="AM51" s="57"/>
      <c r="AN51" s="57"/>
      <c r="AO51" s="57"/>
      <c r="AP51" s="57"/>
      <c r="AQ51" s="57"/>
      <c r="AR51" s="57"/>
      <c r="AS51" s="7"/>
      <c r="AT51" s="7"/>
      <c r="AU51" s="7"/>
      <c r="AV51" s="7"/>
      <c r="AW51" s="7"/>
      <c r="AX51" s="7"/>
      <c r="AY51" s="7"/>
      <c r="AZ51" s="7"/>
      <c r="BA51" s="7"/>
      <c r="BB51" s="8"/>
      <c r="BD51" s="28"/>
      <c r="BE51" s="28"/>
      <c r="BF51" s="28"/>
      <c r="BG51" s="28"/>
      <c r="BH51" s="28"/>
      <c r="BI51" s="28"/>
      <c r="BJ51" s="28"/>
      <c r="BK51" s="28"/>
      <c r="BL51" s="28"/>
      <c r="BM51" s="28"/>
      <c r="BN51" s="28"/>
      <c r="BO51" s="28"/>
    </row>
    <row r="52" spans="1:75" x14ac:dyDescent="0.2">
      <c r="A52" s="6"/>
      <c r="B52" s="14"/>
      <c r="C52" s="14" t="s">
        <v>36</v>
      </c>
      <c r="D52" s="7"/>
      <c r="E52" s="7"/>
      <c r="F52" s="7"/>
      <c r="G52" s="7"/>
      <c r="H52" s="7"/>
      <c r="I52" s="7"/>
      <c r="J52" s="7"/>
      <c r="K52" s="7"/>
      <c r="L52" s="7"/>
      <c r="M52" s="7"/>
      <c r="N52" s="7"/>
      <c r="O52" s="7"/>
      <c r="P52" s="7"/>
      <c r="Q52" s="9"/>
      <c r="R52" s="7"/>
      <c r="S52" s="7"/>
      <c r="T52" s="7"/>
      <c r="U52" s="7"/>
      <c r="V52" s="7"/>
      <c r="W52" s="7"/>
      <c r="X52" s="7"/>
      <c r="Y52" s="7"/>
      <c r="Z52" s="7"/>
      <c r="AA52" s="7"/>
      <c r="AB52" s="7"/>
      <c r="AC52" s="7"/>
      <c r="AD52" s="7"/>
      <c r="AE52" s="7"/>
      <c r="AF52" s="7"/>
      <c r="AG52" s="7"/>
      <c r="AH52" s="117" t="str">
        <f>IF(Standard="","Select flow control standard",IF(K54="","Enter contributing area",IF(K56="","Select trench depth",IF(K58="","Select infiltration rate",IF(Z56="","Enter trench length",IF(Z58="","Enter trench width",
IF(Standard="Pre-developed Pasture Standard",IFERROR(BG56,BI56),
IF(Standard="Peak Control Standard",IFERROR(BG58,BI58),
IFERROR(IF($BH$56&lt;$BH$58,$BG$56,$BG$58),BI58)))))))))</f>
        <v>Select flow control standard</v>
      </c>
      <c r="AI52" s="117"/>
      <c r="AJ52" s="117"/>
      <c r="AK52" s="117"/>
      <c r="AL52" s="117"/>
      <c r="AM52" s="117"/>
      <c r="AN52" s="117"/>
      <c r="AO52" s="117"/>
      <c r="AP52" s="117"/>
      <c r="AQ52" s="117"/>
      <c r="AR52" s="117"/>
      <c r="AS52" s="7"/>
      <c r="AT52" s="7"/>
      <c r="AU52" s="7"/>
      <c r="AV52" s="7"/>
      <c r="AW52" s="7"/>
      <c r="AX52" s="7"/>
      <c r="AY52" s="7"/>
      <c r="AZ52" s="7"/>
      <c r="BA52" s="7"/>
      <c r="BB52" s="8"/>
      <c r="BD52" s="58" t="str">
        <f>C52</f>
        <v>Infiltration Trench</v>
      </c>
      <c r="BE52" s="28"/>
      <c r="BF52" s="28"/>
      <c r="BG52" s="28"/>
      <c r="BH52" s="28"/>
      <c r="BI52" s="28"/>
      <c r="BJ52" s="28"/>
      <c r="BK52" s="28"/>
      <c r="BL52" s="28"/>
      <c r="BM52" s="28"/>
      <c r="BN52" s="28"/>
      <c r="BO52" s="28"/>
      <c r="BP52" s="28"/>
      <c r="BQ52" s="28"/>
      <c r="BR52" s="28"/>
      <c r="BS52" s="28"/>
      <c r="BT52" s="28"/>
      <c r="BU52" s="28"/>
      <c r="BV52" s="28"/>
      <c r="BW52" s="28"/>
    </row>
    <row r="53" spans="1:75" ht="3.75" customHeight="1" x14ac:dyDescent="0.2">
      <c r="A53" s="6"/>
      <c r="B53" s="14"/>
      <c r="C53" s="14"/>
      <c r="D53" s="7"/>
      <c r="E53" s="7"/>
      <c r="F53" s="7"/>
      <c r="G53" s="7"/>
      <c r="H53" s="7"/>
      <c r="I53" s="7"/>
      <c r="J53" s="7"/>
      <c r="K53" s="7"/>
      <c r="L53" s="7"/>
      <c r="M53" s="7"/>
      <c r="N53" s="7"/>
      <c r="O53" s="7"/>
      <c r="P53" s="7"/>
      <c r="Q53" s="9"/>
      <c r="R53" s="7"/>
      <c r="S53" s="7"/>
      <c r="T53" s="7"/>
      <c r="U53" s="7"/>
      <c r="V53" s="7"/>
      <c r="W53" s="7"/>
      <c r="X53" s="7"/>
      <c r="Y53" s="7"/>
      <c r="Z53" s="7"/>
      <c r="AA53" s="7"/>
      <c r="AB53" s="7"/>
      <c r="AC53" s="7"/>
      <c r="AD53" s="7"/>
      <c r="AE53" s="7"/>
      <c r="AF53" s="7"/>
      <c r="AG53" s="7"/>
      <c r="AH53" s="117"/>
      <c r="AI53" s="117"/>
      <c r="AJ53" s="117"/>
      <c r="AK53" s="117"/>
      <c r="AL53" s="117"/>
      <c r="AM53" s="117"/>
      <c r="AN53" s="117"/>
      <c r="AO53" s="117"/>
      <c r="AP53" s="117"/>
      <c r="AQ53" s="117"/>
      <c r="AR53" s="117"/>
      <c r="AS53" s="7"/>
      <c r="AT53" s="7"/>
      <c r="AU53" s="7"/>
      <c r="AV53" s="7"/>
      <c r="AW53" s="7"/>
      <c r="AX53" s="7"/>
      <c r="AY53" s="7"/>
      <c r="AZ53" s="7"/>
      <c r="BA53" s="7"/>
      <c r="BB53" s="8"/>
      <c r="BD53" s="28"/>
      <c r="BE53" s="28"/>
      <c r="BF53" s="28"/>
      <c r="BG53" s="28"/>
      <c r="BH53" s="28"/>
      <c r="BI53" s="28"/>
      <c r="BJ53" s="28"/>
      <c r="BK53" s="28"/>
      <c r="BL53" s="28"/>
      <c r="BM53" s="28"/>
      <c r="BN53" s="28"/>
      <c r="BO53" s="28"/>
    </row>
    <row r="54" spans="1:75" s="28" customFormat="1" ht="11.25" customHeight="1" x14ac:dyDescent="0.2">
      <c r="A54" s="21"/>
      <c r="B54" s="23"/>
      <c r="C54" s="23"/>
      <c r="D54" s="22" t="s">
        <v>23</v>
      </c>
      <c r="E54" s="22"/>
      <c r="F54" s="22"/>
      <c r="G54" s="22"/>
      <c r="H54" s="22"/>
      <c r="I54" s="22"/>
      <c r="J54" s="22"/>
      <c r="K54" s="126"/>
      <c r="L54" s="126"/>
      <c r="M54" s="126"/>
      <c r="N54" s="126"/>
      <c r="O54" s="22" t="s">
        <v>7</v>
      </c>
      <c r="P54" s="22"/>
      <c r="Q54" s="1" t="s">
        <v>57</v>
      </c>
      <c r="R54" s="22"/>
      <c r="S54" s="22"/>
      <c r="T54" s="22"/>
      <c r="U54" s="22"/>
      <c r="V54" s="22"/>
      <c r="W54" s="22"/>
      <c r="X54" s="22"/>
      <c r="Y54" s="24" t="str">
        <f>IFERROR(IF(AND(AH52=BG56,BF56&gt;0),"[ ",""),"")</f>
        <v/>
      </c>
      <c r="Z54" s="131" t="str">
        <f>IF(OR(Z56="",Z58=""),"",Z56*Z58)</f>
        <v/>
      </c>
      <c r="AA54" s="131"/>
      <c r="AB54" s="131"/>
      <c r="AC54" s="131"/>
      <c r="AD54" s="22" t="s">
        <v>7</v>
      </c>
      <c r="AE54" s="22"/>
      <c r="AF54" s="77" t="str">
        <f>IFERROR(IF(Z54="",":",IF(AND(AH52=BG56,BF56&gt;0),"-","÷")),":")</f>
        <v>:</v>
      </c>
      <c r="AG54" s="22"/>
      <c r="AH54" s="118"/>
      <c r="AI54" s="118"/>
      <c r="AJ54" s="118"/>
      <c r="AK54" s="118"/>
      <c r="AL54" s="118"/>
      <c r="AM54" s="118"/>
      <c r="AN54" s="118"/>
      <c r="AO54" s="118"/>
      <c r="AP54" s="118"/>
      <c r="AQ54" s="118"/>
      <c r="AR54" s="118"/>
      <c r="AS54" s="22"/>
      <c r="AT54" s="77" t="s">
        <v>131</v>
      </c>
      <c r="AU54" s="22"/>
      <c r="AV54" s="131" t="str">
        <f>IF(K54="","",IFERROR(IF(Standard="Pre-Developed Pasture Standard",MIN(K54,BH56),IF(Standard="Peak Control Standard",MIN(K54,BH58),IF(Standard="Pre-Developed Pasture and Peak Control Standards",MIN(K54,BH56,BH58),""))),""))</f>
        <v/>
      </c>
      <c r="AW54" s="131"/>
      <c r="AX54" s="131"/>
      <c r="AY54" s="131"/>
      <c r="AZ54" s="131"/>
      <c r="BA54" s="22" t="s">
        <v>7</v>
      </c>
      <c r="BB54" s="27"/>
      <c r="BD54" s="28" t="s">
        <v>90</v>
      </c>
      <c r="BE54" s="59" t="s">
        <v>84</v>
      </c>
      <c r="BF54" s="59" t="s">
        <v>85</v>
      </c>
      <c r="BG54" s="59" t="s">
        <v>89</v>
      </c>
      <c r="BH54" s="59" t="s">
        <v>17</v>
      </c>
      <c r="BI54" s="59" t="s">
        <v>92</v>
      </c>
    </row>
    <row r="55" spans="1:75" ht="3.75" customHeight="1" x14ac:dyDescent="0.2">
      <c r="A55" s="6"/>
      <c r="B55" s="14"/>
      <c r="C55" s="14"/>
      <c r="D55" s="7"/>
      <c r="E55" s="7"/>
      <c r="F55" s="7"/>
      <c r="G55" s="7"/>
      <c r="H55" s="7"/>
      <c r="I55" s="7"/>
      <c r="J55" s="7"/>
      <c r="K55" s="7"/>
      <c r="L55" s="7"/>
      <c r="M55" s="7"/>
      <c r="N55" s="7"/>
      <c r="O55" s="7"/>
      <c r="P55" s="7"/>
      <c r="Q55" s="9"/>
      <c r="R55" s="7"/>
      <c r="S55" s="7"/>
      <c r="T55" s="7"/>
      <c r="U55" s="7"/>
      <c r="V55" s="7"/>
      <c r="W55" s="7"/>
      <c r="X55" s="7"/>
      <c r="Y55" s="16"/>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8"/>
      <c r="BD55" s="28"/>
      <c r="BE55" s="28"/>
      <c r="BF55" s="28"/>
      <c r="BG55" s="28"/>
      <c r="BH55" s="28"/>
      <c r="BI55" s="28"/>
      <c r="BJ55" s="28"/>
      <c r="BK55" s="28"/>
      <c r="BL55" s="28"/>
      <c r="BM55" s="28"/>
      <c r="BN55" s="28"/>
      <c r="BO55" s="28"/>
    </row>
    <row r="56" spans="1:75" s="28" customFormat="1" ht="11.25" x14ac:dyDescent="0.2">
      <c r="A56" s="21"/>
      <c r="B56" s="23"/>
      <c r="C56" s="23"/>
      <c r="D56" s="22" t="s">
        <v>37</v>
      </c>
      <c r="E56" s="22"/>
      <c r="F56" s="22"/>
      <c r="G56" s="22"/>
      <c r="H56" s="22"/>
      <c r="I56" s="22"/>
      <c r="J56" s="22"/>
      <c r="K56" s="144"/>
      <c r="L56" s="144"/>
      <c r="M56" s="144"/>
      <c r="N56" s="144"/>
      <c r="O56" s="22" t="s">
        <v>54</v>
      </c>
      <c r="P56" s="22"/>
      <c r="Q56" s="1" t="s">
        <v>55</v>
      </c>
      <c r="R56" s="22"/>
      <c r="S56" s="22"/>
      <c r="T56" s="22"/>
      <c r="U56" s="22"/>
      <c r="V56" s="22"/>
      <c r="W56" s="22"/>
      <c r="X56" s="22"/>
      <c r="Y56" s="24"/>
      <c r="Z56" s="126"/>
      <c r="AA56" s="126"/>
      <c r="AB56" s="126"/>
      <c r="AC56" s="126"/>
      <c r="AD56" s="22" t="s">
        <v>54</v>
      </c>
      <c r="AE56" s="22"/>
      <c r="AF56" s="22"/>
      <c r="AG56" s="22"/>
      <c r="AH56" s="120" t="str">
        <f>IFERROR(IF(OR(K54="",Z54=""),"",
IF(AND(Z58&gt;0,OR(Z58&gt;4,Z58&lt;2)),"Width must be between 2 and 4 feet",
IF(Standard="Pre-Developed Pasture Standard",
IF(Z54&gt;ROUNDUP(K54*BE56+BF56,0),"Trench area can be reduced to "&amp;TEXT(ROUNDUP(K54*BE56+BF56,0),"#,##0")&amp; " sf (length can be reduced to "&amp; TEXT(ROUNDUP((K54*BE56+BF56)/Z58,0),"#,##0")&amp;" ft)",
IF(Z54&lt;ROUNDUP(K54*BE56+BF56,0),"Trench area to fully manage area is "&amp;TEXT(ROUNDUP(K54*BE56+BF56,0),"#,##0")&amp; " sf (length of "&amp; TEXT(ROUNDUP((K54*BE56+BF56)/Z58,0),"#,##0")&amp;" ft)","")),
IF(Standard="Peak Control Standard",
IF(Z54&gt;ROUNDUP(K54*BE58+BF58,0),"Trench area can be reduced to "&amp;TEXT(ROUNDUP(K54*BE58+BF58,0),"#,##0")&amp;" sf (length can be reduced to "&amp; TEXT(ROUNDUP((K54*BE58+BF58)/Z58,0),"#,##0")&amp;" ft)",
IF(Z54&lt;ROUNDUP(K54*BE58+BF58,0),"Trench area to fully manage areais "&amp;TEXT(ROUNDUP(K54*BE58+BF58,0),"#,##0")&amp;" sf (length of "&amp; TEXT(ROUNDUP((K54*BE58+BF58)/Z58,0),"#,##0")&amp;" ft)","")),
IF(Standard="Pre-developed Pasture and Peak Control Standards",
IF(Z54&gt;ROUNDUP(MAX(K54*BE56+BF56,K54*BE58+BF58),0),"Trench area can be reduced to "&amp;TEXT(ROUNDUP(MAX(K54*BE56+BF56,K54*BE58+BF58),0),"#,##0")&amp;" sf (length can be reduced to "&amp; TEXT(ROUNDUP(MAX(K54*BE56+BF56,K54*BE58+BF58)/Z58,0),"#,##0")&amp;" ft)",
IF(Z54&lt;ROUNDUP(MAX(K54*BE56+BF56,K54*BE58+BF58),0),"Trench area to fully manage area is"&amp;TEXT(ROUNDUP(MAX(K54*BE56+BF56,K54*BE58+BF58),0),"#,##0")&amp;" sf (length of "&amp; TEXT(ROUNDUP(MAX(K54*BE56+BF56,K54*BE58+BF58)/Z58,0),"#,##0")&amp;" ft)","")),""))))),"")</f>
        <v/>
      </c>
      <c r="AI56" s="120"/>
      <c r="AJ56" s="120"/>
      <c r="AK56" s="120"/>
      <c r="AL56" s="120"/>
      <c r="AM56" s="120"/>
      <c r="AN56" s="120"/>
      <c r="AO56" s="120"/>
      <c r="AP56" s="120"/>
      <c r="AQ56" s="120"/>
      <c r="AR56" s="120"/>
      <c r="AS56" s="120"/>
      <c r="AT56" s="120"/>
      <c r="AU56" s="120"/>
      <c r="AV56" s="120"/>
      <c r="AW56" s="120"/>
      <c r="AX56" s="120"/>
      <c r="AY56" s="120"/>
      <c r="AZ56" s="120"/>
      <c r="BA56" s="22"/>
      <c r="BB56" s="27"/>
      <c r="BD56" s="28" t="s">
        <v>9</v>
      </c>
      <c r="BE56" s="59" t="e">
        <f>INDEX('Sizing Factors'!$H:$H,MATCH(C52&amp;K56&amp;K58&amp;IF(K54&lt;=2000,"02000",IF(K54&lt;=10000,"200010000","x"))&amp;$BD$56,'Sizing Factors'!$K:$K,0))</f>
        <v>#N/A</v>
      </c>
      <c r="BF56" s="59" t="e">
        <f>INDEX('Sizing Factors'!$I:$I,MATCH(C52&amp;K56&amp;K58&amp;IF(K54&lt;=2000,"02000",IF(K54&lt;=10000,"200010000","x"))&amp;$BD$56,'Sizing Factors'!$K:$K,0))</f>
        <v>#N/A</v>
      </c>
      <c r="BG56" s="59" t="e">
        <f>IF(BF56=0,BE56*100&amp;"%",BF56&amp;" ] ÷ "&amp;BE56)</f>
        <v>#N/A</v>
      </c>
      <c r="BH56" s="60" t="e">
        <f>MAX(($Z$54-$BF$56)/$BE$56,0)</f>
        <v>#VALUE!</v>
      </c>
      <c r="BI56" s="28" t="str">
        <f>IF(K54&gt;10000,"Not applicable for contributing area &gt; 10,000 sf","")</f>
        <v/>
      </c>
    </row>
    <row r="57" spans="1:75" ht="3.75" customHeight="1" x14ac:dyDescent="0.2">
      <c r="A57" s="6"/>
      <c r="B57" s="14"/>
      <c r="C57" s="14"/>
      <c r="D57" s="7"/>
      <c r="E57" s="7"/>
      <c r="F57" s="7"/>
      <c r="G57" s="7"/>
      <c r="H57" s="7"/>
      <c r="I57" s="7"/>
      <c r="J57" s="7"/>
      <c r="K57" s="7"/>
      <c r="L57" s="7"/>
      <c r="M57" s="7"/>
      <c r="N57" s="7"/>
      <c r="O57" s="7"/>
      <c r="P57" s="7"/>
      <c r="Q57" s="9"/>
      <c r="R57" s="7"/>
      <c r="S57" s="7"/>
      <c r="T57" s="7"/>
      <c r="U57" s="7"/>
      <c r="V57" s="7"/>
      <c r="W57" s="7"/>
      <c r="X57" s="7"/>
      <c r="Y57" s="16"/>
      <c r="Z57" s="7"/>
      <c r="AA57" s="7"/>
      <c r="AB57" s="7"/>
      <c r="AC57" s="7"/>
      <c r="AD57" s="7"/>
      <c r="AE57" s="7"/>
      <c r="AF57" s="7"/>
      <c r="AG57" s="7"/>
      <c r="AH57" s="120"/>
      <c r="AI57" s="120"/>
      <c r="AJ57" s="120"/>
      <c r="AK57" s="120"/>
      <c r="AL57" s="120"/>
      <c r="AM57" s="120"/>
      <c r="AN57" s="120"/>
      <c r="AO57" s="120"/>
      <c r="AP57" s="120"/>
      <c r="AQ57" s="120"/>
      <c r="AR57" s="120"/>
      <c r="AS57" s="120"/>
      <c r="AT57" s="120"/>
      <c r="AU57" s="120"/>
      <c r="AV57" s="120"/>
      <c r="AW57" s="120"/>
      <c r="AX57" s="120"/>
      <c r="AY57" s="120"/>
      <c r="AZ57" s="120"/>
      <c r="BA57" s="7"/>
      <c r="BB57" s="8"/>
      <c r="BD57" s="28"/>
      <c r="BE57" s="28"/>
      <c r="BF57" s="28"/>
      <c r="BG57" s="28"/>
      <c r="BH57" s="28"/>
      <c r="BI57" s="28"/>
      <c r="BJ57" s="28"/>
      <c r="BK57" s="28"/>
      <c r="BL57" s="28"/>
      <c r="BM57" s="28"/>
      <c r="BN57" s="28"/>
      <c r="BO57" s="28"/>
    </row>
    <row r="58" spans="1:75" s="28" customFormat="1" ht="11.25" customHeight="1" x14ac:dyDescent="0.2">
      <c r="A58" s="21"/>
      <c r="B58" s="23"/>
      <c r="C58" s="23"/>
      <c r="D58" s="22" t="s">
        <v>149</v>
      </c>
      <c r="E58" s="22"/>
      <c r="F58" s="22"/>
      <c r="G58" s="22"/>
      <c r="H58" s="22"/>
      <c r="I58" s="22"/>
      <c r="J58" s="22"/>
      <c r="K58" s="144"/>
      <c r="L58" s="144"/>
      <c r="M58" s="144"/>
      <c r="N58" s="144"/>
      <c r="O58" s="22" t="s">
        <v>53</v>
      </c>
      <c r="P58" s="22"/>
      <c r="Q58" s="1" t="s">
        <v>56</v>
      </c>
      <c r="R58" s="22"/>
      <c r="S58" s="22"/>
      <c r="T58" s="22"/>
      <c r="U58" s="22"/>
      <c r="V58" s="22"/>
      <c r="W58" s="22"/>
      <c r="X58" s="22"/>
      <c r="Y58" s="24"/>
      <c r="Z58" s="126"/>
      <c r="AA58" s="126"/>
      <c r="AB58" s="126"/>
      <c r="AC58" s="126"/>
      <c r="AD58" s="22" t="s">
        <v>54</v>
      </c>
      <c r="AE58" s="22"/>
      <c r="AF58" s="22"/>
      <c r="AG58" s="22"/>
      <c r="AH58" s="120"/>
      <c r="AI58" s="120"/>
      <c r="AJ58" s="120"/>
      <c r="AK58" s="120"/>
      <c r="AL58" s="120"/>
      <c r="AM58" s="120"/>
      <c r="AN58" s="120"/>
      <c r="AO58" s="120"/>
      <c r="AP58" s="120"/>
      <c r="AQ58" s="120"/>
      <c r="AR58" s="120"/>
      <c r="AS58" s="120"/>
      <c r="AT58" s="120"/>
      <c r="AU58" s="120"/>
      <c r="AV58" s="120"/>
      <c r="AW58" s="120"/>
      <c r="AX58" s="120"/>
      <c r="AY58" s="120"/>
      <c r="AZ58" s="120"/>
      <c r="BA58" s="22"/>
      <c r="BB58" s="27"/>
      <c r="BD58" s="28" t="s">
        <v>82</v>
      </c>
      <c r="BE58" s="59" t="e">
        <f>IF(K54&gt;10000,"NA",INDEX('Sizing Factors'!$H:$H,MATCH(C52&amp;K56&amp;K58&amp;$BD$58,'Sizing Factors'!$K:$K,0)))</f>
        <v>#N/A</v>
      </c>
      <c r="BF58" s="59" t="e">
        <f>INDEX('Sizing Factors'!$I:$I,MATCH(C52&amp;K56&amp;K58&amp;$BD$58,'Sizing Factors'!$K:$K,0))</f>
        <v>#N/A</v>
      </c>
      <c r="BG58" s="59" t="e">
        <f>IF(BF58=0,BE58*100&amp;"%",BF58&amp;" ] ÷ "&amp;BE58)</f>
        <v>#N/A</v>
      </c>
      <c r="BH58" s="60" t="e">
        <f>($Z$54-$BF$58)/$BE$58</f>
        <v>#VALUE!</v>
      </c>
      <c r="BI58" s="28" t="str">
        <f>IF(K54&gt;10000,"Not applicable for contributing area &gt; 10,000 sf","")</f>
        <v/>
      </c>
      <c r="BP58" s="2"/>
      <c r="BQ58" s="2"/>
      <c r="BR58" s="2"/>
      <c r="BS58" s="2"/>
      <c r="BT58" s="2"/>
      <c r="BU58" s="2"/>
      <c r="BV58" s="2"/>
      <c r="BW58" s="2"/>
    </row>
    <row r="59" spans="1:75" ht="3.75" customHeight="1" x14ac:dyDescent="0.2">
      <c r="A59" s="6"/>
      <c r="B59" s="14"/>
      <c r="C59" s="14"/>
      <c r="D59" s="7"/>
      <c r="E59" s="7"/>
      <c r="F59" s="7"/>
      <c r="G59" s="7"/>
      <c r="H59" s="7"/>
      <c r="I59" s="7"/>
      <c r="J59" s="7"/>
      <c r="K59" s="7"/>
      <c r="L59" s="7"/>
      <c r="M59" s="7"/>
      <c r="N59" s="7"/>
      <c r="O59" s="7"/>
      <c r="P59" s="7"/>
      <c r="Q59" s="9"/>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8"/>
      <c r="BD59" s="28"/>
      <c r="BE59" s="28"/>
      <c r="BF59" s="28"/>
      <c r="BG59" s="28"/>
      <c r="BH59" s="28"/>
      <c r="BI59" s="28"/>
      <c r="BJ59" s="28"/>
      <c r="BK59" s="28"/>
      <c r="BL59" s="28"/>
      <c r="BM59" s="28"/>
      <c r="BN59" s="28"/>
      <c r="BO59" s="28"/>
    </row>
    <row r="60" spans="1:75" x14ac:dyDescent="0.2">
      <c r="A60" s="6"/>
      <c r="B60" s="14"/>
      <c r="C60" s="14" t="s">
        <v>98</v>
      </c>
      <c r="D60" s="7"/>
      <c r="E60" s="7"/>
      <c r="F60" s="7"/>
      <c r="G60" s="7"/>
      <c r="H60" s="7"/>
      <c r="I60" s="7"/>
      <c r="J60" s="7"/>
      <c r="K60" s="7"/>
      <c r="L60" s="7"/>
      <c r="M60" s="7"/>
      <c r="N60" s="7"/>
      <c r="O60" s="7"/>
      <c r="P60" s="7"/>
      <c r="Q60" s="9"/>
      <c r="R60" s="7"/>
      <c r="S60" s="7"/>
      <c r="T60" s="7"/>
      <c r="U60" s="7"/>
      <c r="V60" s="7"/>
      <c r="W60" s="7"/>
      <c r="X60" s="7"/>
      <c r="Y60" s="7"/>
      <c r="Z60" s="7"/>
      <c r="AA60" s="7"/>
      <c r="AB60" s="7"/>
      <c r="AC60" s="7"/>
      <c r="AD60" s="7"/>
      <c r="AE60" s="7"/>
      <c r="AF60" s="7"/>
      <c r="AG60" s="7"/>
      <c r="AH60" s="117" t="str">
        <f>IF(Standard="","Select flow control standard", IF(K62="","Enter contributing area",IF(K64="","Select well depth",IF(K66="","Select infiltration rate",
IF(Standard="Pre-developed pasture standard",IFERROR(BG64,BI64),
IF(Standard="Peak Control Standard",IFERROR(BG66,BI66),
IFERROR(IF($BH$64&lt;$BH$66,$BG$64,$BG$66),BI64)))))))</f>
        <v>Select flow control standard</v>
      </c>
      <c r="AI60" s="117"/>
      <c r="AJ60" s="117"/>
      <c r="AK60" s="117"/>
      <c r="AL60" s="117"/>
      <c r="AM60" s="117"/>
      <c r="AN60" s="117"/>
      <c r="AO60" s="117"/>
      <c r="AP60" s="117"/>
      <c r="AQ60" s="117"/>
      <c r="AR60" s="117"/>
      <c r="AS60" s="7"/>
      <c r="AT60" s="7"/>
      <c r="AU60" s="7"/>
      <c r="AV60" s="7"/>
      <c r="AW60" s="7"/>
      <c r="AX60" s="7"/>
      <c r="AY60" s="7"/>
      <c r="AZ60" s="7"/>
      <c r="BA60" s="7"/>
      <c r="BB60" s="8"/>
      <c r="BD60" s="58" t="str">
        <f>C60</f>
        <v>Drywell</v>
      </c>
      <c r="BE60" s="28"/>
      <c r="BF60" s="28"/>
      <c r="BG60" s="28"/>
      <c r="BH60" s="28"/>
      <c r="BI60" s="28"/>
      <c r="BJ60" s="28"/>
      <c r="BK60" s="28"/>
      <c r="BL60" s="28"/>
      <c r="BM60" s="28"/>
      <c r="BN60" s="28"/>
      <c r="BO60" s="28"/>
      <c r="BP60" s="28"/>
      <c r="BQ60" s="28"/>
      <c r="BR60" s="28"/>
      <c r="BS60" s="28"/>
      <c r="BT60" s="28"/>
      <c r="BU60" s="28"/>
      <c r="BV60" s="28"/>
      <c r="BW60" s="28"/>
    </row>
    <row r="61" spans="1:75" ht="3.75" customHeight="1" x14ac:dyDescent="0.2">
      <c r="A61" s="6"/>
      <c r="B61" s="14"/>
      <c r="C61" s="14"/>
      <c r="D61" s="7"/>
      <c r="E61" s="7"/>
      <c r="F61" s="7"/>
      <c r="G61" s="7"/>
      <c r="H61" s="7"/>
      <c r="I61" s="7"/>
      <c r="J61" s="7"/>
      <c r="K61" s="7"/>
      <c r="L61" s="7"/>
      <c r="M61" s="7"/>
      <c r="N61" s="7"/>
      <c r="O61" s="7"/>
      <c r="P61" s="7"/>
      <c r="Q61" s="9"/>
      <c r="R61" s="7"/>
      <c r="S61" s="7"/>
      <c r="T61" s="7"/>
      <c r="U61" s="7"/>
      <c r="V61" s="7"/>
      <c r="W61" s="7"/>
      <c r="X61" s="7"/>
      <c r="Y61" s="7"/>
      <c r="Z61" s="7"/>
      <c r="AA61" s="7"/>
      <c r="AB61" s="7"/>
      <c r="AC61" s="7"/>
      <c r="AD61" s="7"/>
      <c r="AE61" s="7"/>
      <c r="AF61" s="7"/>
      <c r="AG61" s="7"/>
      <c r="AH61" s="117"/>
      <c r="AI61" s="117"/>
      <c r="AJ61" s="117"/>
      <c r="AK61" s="117"/>
      <c r="AL61" s="117"/>
      <c r="AM61" s="117"/>
      <c r="AN61" s="117"/>
      <c r="AO61" s="117"/>
      <c r="AP61" s="117"/>
      <c r="AQ61" s="117"/>
      <c r="AR61" s="117"/>
      <c r="AS61" s="7"/>
      <c r="AT61" s="7"/>
      <c r="AU61" s="7"/>
      <c r="AV61" s="7"/>
      <c r="AW61" s="7"/>
      <c r="AX61" s="7"/>
      <c r="AY61" s="7"/>
      <c r="AZ61" s="7"/>
      <c r="BA61" s="7"/>
      <c r="BB61" s="8"/>
      <c r="BD61" s="28"/>
      <c r="BE61" s="28"/>
      <c r="BF61" s="28"/>
      <c r="BG61" s="28"/>
      <c r="BH61" s="28"/>
      <c r="BI61" s="28"/>
      <c r="BJ61" s="28"/>
      <c r="BK61" s="28"/>
      <c r="BL61" s="28"/>
      <c r="BM61" s="28"/>
      <c r="BN61" s="28"/>
      <c r="BO61" s="28"/>
    </row>
    <row r="62" spans="1:75" s="28" customFormat="1" ht="11.25" customHeight="1" x14ac:dyDescent="0.2">
      <c r="A62" s="21"/>
      <c r="B62" s="23"/>
      <c r="C62" s="23"/>
      <c r="D62" s="22" t="s">
        <v>23</v>
      </c>
      <c r="E62" s="22"/>
      <c r="F62" s="22"/>
      <c r="G62" s="22"/>
      <c r="H62" s="22"/>
      <c r="I62" s="22"/>
      <c r="J62" s="22"/>
      <c r="K62" s="126"/>
      <c r="L62" s="126"/>
      <c r="M62" s="126"/>
      <c r="N62" s="126"/>
      <c r="O62" s="22" t="s">
        <v>7</v>
      </c>
      <c r="P62" s="22"/>
      <c r="Q62" s="1" t="s">
        <v>59</v>
      </c>
      <c r="R62" s="22"/>
      <c r="S62" s="22"/>
      <c r="T62" s="22"/>
      <c r="U62" s="22"/>
      <c r="V62" s="22"/>
      <c r="W62" s="22"/>
      <c r="X62" s="22"/>
      <c r="Y62" s="24" t="str">
        <f>IFERROR(IF(AND(AH60=BG64,BF64&gt;0),"[ ",""),"")</f>
        <v/>
      </c>
      <c r="Z62" s="126"/>
      <c r="AA62" s="126"/>
      <c r="AB62" s="126"/>
      <c r="AC62" s="126"/>
      <c r="AD62" s="22" t="s">
        <v>7</v>
      </c>
      <c r="AE62" s="22"/>
      <c r="AF62" s="77" t="str">
        <f>IFERROR(IF(AND(AH60=BG64,BF64&gt;0),"-","÷"),":")</f>
        <v>:</v>
      </c>
      <c r="AG62" s="22"/>
      <c r="AH62" s="118"/>
      <c r="AI62" s="118"/>
      <c r="AJ62" s="118"/>
      <c r="AK62" s="118"/>
      <c r="AL62" s="118"/>
      <c r="AM62" s="118"/>
      <c r="AN62" s="118"/>
      <c r="AO62" s="118"/>
      <c r="AP62" s="118"/>
      <c r="AQ62" s="118"/>
      <c r="AR62" s="118"/>
      <c r="AS62" s="22"/>
      <c r="AT62" s="77" t="s">
        <v>131</v>
      </c>
      <c r="AU62" s="22"/>
      <c r="AV62" s="131" t="str">
        <f>IF(K62="","",IFERROR(IF(Standard="Pre-Developed Pasture Standard",MIN(K62,BH64),IF(Standard="Peak Control Standard",MIN(K62,BH66),IF(Standard="Pre-Developed Pasture and Peak Control Standards",MIN(K62,BH64,BH66),""))),""))</f>
        <v/>
      </c>
      <c r="AW62" s="131"/>
      <c r="AX62" s="131"/>
      <c r="AY62" s="131"/>
      <c r="AZ62" s="131"/>
      <c r="BA62" s="22" t="s">
        <v>7</v>
      </c>
      <c r="BB62" s="27"/>
      <c r="BD62" s="28" t="s">
        <v>90</v>
      </c>
      <c r="BE62" s="59" t="s">
        <v>84</v>
      </c>
      <c r="BF62" s="59" t="s">
        <v>85</v>
      </c>
      <c r="BG62" s="59" t="s">
        <v>89</v>
      </c>
      <c r="BH62" s="59" t="s">
        <v>17</v>
      </c>
      <c r="BI62" s="59" t="s">
        <v>92</v>
      </c>
    </row>
    <row r="63" spans="1:75" ht="3.75" customHeight="1" x14ac:dyDescent="0.2">
      <c r="A63" s="6"/>
      <c r="B63" s="14"/>
      <c r="C63" s="14"/>
      <c r="D63" s="7"/>
      <c r="E63" s="7"/>
      <c r="F63" s="7"/>
      <c r="G63" s="7"/>
      <c r="H63" s="7"/>
      <c r="I63" s="7"/>
      <c r="J63" s="7"/>
      <c r="K63" s="7"/>
      <c r="L63" s="7"/>
      <c r="M63" s="7"/>
      <c r="N63" s="7"/>
      <c r="O63" s="7"/>
      <c r="P63" s="7"/>
      <c r="Q63" s="9"/>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8"/>
      <c r="BD63" s="28"/>
      <c r="BE63" s="28"/>
      <c r="BF63" s="28"/>
      <c r="BG63" s="28"/>
      <c r="BH63" s="28"/>
      <c r="BI63" s="28"/>
      <c r="BJ63" s="28"/>
      <c r="BK63" s="28"/>
      <c r="BL63" s="28"/>
      <c r="BM63" s="28"/>
      <c r="BN63" s="28"/>
      <c r="BO63" s="28"/>
    </row>
    <row r="64" spans="1:75" s="28" customFormat="1" x14ac:dyDescent="0.2">
      <c r="A64" s="21"/>
      <c r="B64" s="23"/>
      <c r="C64" s="23"/>
      <c r="D64" s="22" t="s">
        <v>38</v>
      </c>
      <c r="E64" s="22"/>
      <c r="F64" s="22"/>
      <c r="G64" s="22"/>
      <c r="H64" s="22"/>
      <c r="I64" s="22"/>
      <c r="J64" s="22"/>
      <c r="K64" s="144"/>
      <c r="L64" s="144"/>
      <c r="M64" s="144"/>
      <c r="N64" s="144"/>
      <c r="O64" s="22" t="s">
        <v>54</v>
      </c>
      <c r="P64" s="22"/>
      <c r="Q64" s="143" t="str">
        <f>IF(K62="","",
IF(AND(Z62&gt;0,Z62&lt;12.5),"Drywell to fully manage area a minimum of 48 inches in diameter",
IFERROR(
IF(Standard="Pre-Developed Pasture Standard",
IF(Z62&gt;ROUNDUP(MAX(K62*BE64+BF64,12.6),0),"Drywell area can be reduced to "&amp;TEXT(ROUNDUP(MAX(K62*BE64+BF64,12.6),0),"#,##0")&amp; " sf",
IF(Z62&lt;ROUNDUP(MAX(K62*BE64+BF64,12.6),0),"Drywell area to fully manage area is "&amp;TEXT(ROUNDUP(MAX(K62*BE64+BF64,12.6),0),"#,##0")&amp; " sf","")),
IF(Standard="Peak Control Standard",
IF(Z62&gt;ROUNDUP(MAX(K62*BE66+BF66,12.6),0),"Drywell area can be reduced to "&amp;TEXT(ROUNDUP(MAX(K62*BE66+BF66,12.6),0),"#,##0")&amp;" sf",
IF(Z62&lt;ROUNDUP(MAX(K62*BE66+BF66,12.6),0),"Drywell area to fully manage area is "&amp;TEXT(ROUNDUP(MAX(K62*BE66+BF66,12.6),0),"#,##0")&amp;" sf","")),
IF(Standard="Pre-developed Pasture and Peak Control Standards",
IF(Z62&gt;ROUNDUP(MAX(K62*BE64+BF64,K62*BE66+BF66,12.6),0),"Drywell area can be reduced to "&amp;TEXT(ROUNDUP(MAX(K62*BE64+BF64,K62*BE66+BF66,12.6),0),"#,##0")&amp;" sf",
IF(Z62&lt;ROUNDUP(MAX(K62*BE64+BF64,K62*BE66+BF66,12.6),0),"Drywell area to fully manage area is "&amp;TEXT(ROUNDUP(MAX(K62*BE64+BF64,K62*BE66+BF66,12.6),0),"#,##0")&amp;" sf","")),""))),"")))</f>
        <v/>
      </c>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27"/>
      <c r="BD64" s="28" t="s">
        <v>9</v>
      </c>
      <c r="BE64" s="59" t="e">
        <f>INDEX('Sizing Factors'!$H:$H,MATCH(C60&amp;K64&amp;K66&amp;IF(K62&lt;=2000,"02000",IF(K62&lt;=10000,"200010000","x"))&amp;$BD$64,'Sizing Factors'!$K:$K,0))</f>
        <v>#N/A</v>
      </c>
      <c r="BF64" s="59" t="e">
        <f>INDEX('Sizing Factors'!$I:$I,MATCH(C60&amp;K64&amp;K66&amp;IF(K62&lt;=2000,"02000",IF(K62&lt;=10000,"200010000","x"))&amp;$BD$64,'Sizing Factors'!$K:$K,0))</f>
        <v>#N/A</v>
      </c>
      <c r="BG64" s="59" t="e">
        <f>IF(BF64=0,BE64*100&amp;"%",BF64&amp;" ] ÷ "&amp;BE64)</f>
        <v>#N/A</v>
      </c>
      <c r="BH64" s="60">
        <f>IF(Z62&gt;12.5,MAX(($Z$62-$BF$64)/$BE$64,0),0)</f>
        <v>0</v>
      </c>
      <c r="BI64" s="28" t="str">
        <f>IF(K62&gt;10000,"Not applicable for contributing area &gt; 10,000 sf","")</f>
        <v/>
      </c>
      <c r="BP64" s="2"/>
      <c r="BQ64" s="2"/>
      <c r="BR64" s="2"/>
      <c r="BS64" s="2"/>
      <c r="BT64" s="2"/>
      <c r="BU64" s="2"/>
      <c r="BV64" s="2"/>
      <c r="BW64" s="2"/>
    </row>
    <row r="65" spans="1:83" ht="3.75" customHeight="1" x14ac:dyDescent="0.2">
      <c r="A65" s="6"/>
      <c r="B65" s="14"/>
      <c r="C65" s="14"/>
      <c r="D65" s="7"/>
      <c r="E65" s="7"/>
      <c r="F65" s="7"/>
      <c r="G65" s="7"/>
      <c r="H65" s="7"/>
      <c r="I65" s="7"/>
      <c r="J65" s="7"/>
      <c r="K65" s="7"/>
      <c r="L65" s="7"/>
      <c r="M65" s="7"/>
      <c r="N65" s="7"/>
      <c r="O65" s="7"/>
      <c r="P65" s="7"/>
      <c r="Q65" s="9"/>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8"/>
      <c r="BD65" s="28"/>
      <c r="BE65" s="28"/>
      <c r="BF65" s="28"/>
      <c r="BG65" s="28"/>
      <c r="BH65" s="28"/>
      <c r="BI65" s="28"/>
      <c r="BJ65" s="28"/>
      <c r="BK65" s="28"/>
      <c r="BL65" s="28"/>
      <c r="BM65" s="28"/>
      <c r="BN65" s="28"/>
      <c r="BO65" s="28"/>
      <c r="BX65" s="28"/>
      <c r="BY65" s="28"/>
      <c r="BZ65" s="28"/>
      <c r="CA65" s="28"/>
      <c r="CB65" s="28"/>
      <c r="CC65" s="28"/>
      <c r="CD65" s="28"/>
      <c r="CE65" s="28"/>
    </row>
    <row r="66" spans="1:83" x14ac:dyDescent="0.2">
      <c r="A66" s="21"/>
      <c r="B66" s="23"/>
      <c r="C66" s="23"/>
      <c r="D66" s="22" t="s">
        <v>149</v>
      </c>
      <c r="E66" s="22"/>
      <c r="F66" s="22"/>
      <c r="G66" s="22"/>
      <c r="H66" s="22"/>
      <c r="I66" s="22"/>
      <c r="J66" s="22"/>
      <c r="K66" s="144"/>
      <c r="L66" s="144"/>
      <c r="M66" s="144"/>
      <c r="N66" s="144"/>
      <c r="O66" s="22" t="s">
        <v>53</v>
      </c>
      <c r="P66" s="22"/>
      <c r="Q66" s="1"/>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7"/>
      <c r="BD66" s="28" t="s">
        <v>82</v>
      </c>
      <c r="BE66" s="59" t="e">
        <f>IF(K62&gt;10000,"NA",INDEX('Sizing Factors'!$H:$H,MATCH(C60&amp;K64&amp;K66&amp;$BD$66,'Sizing Factors'!$K:$K,0)))</f>
        <v>#N/A</v>
      </c>
      <c r="BF66" s="59" t="e">
        <f>INDEX('Sizing Factors'!$I:$I,MATCH(C60&amp;K64&amp;K66&amp;$BD$66,'Sizing Factors'!$K:$K,0))</f>
        <v>#N/A</v>
      </c>
      <c r="BG66" s="59" t="e">
        <f>IF(BF66=0,BE66*100&amp;"%",BF66&amp;" ] ÷ "&amp;BE66)</f>
        <v>#N/A</v>
      </c>
      <c r="BH66" s="60">
        <f>IF(Z62&lt;12.5,0,($Z$62-$BF$66)/$BE$66)</f>
        <v>0</v>
      </c>
      <c r="BI66" s="28" t="str">
        <f>IF(K62&gt;10000,"Not applicable for contributing area &gt; 10,000 sf","")</f>
        <v/>
      </c>
      <c r="BJ66" s="28"/>
      <c r="BK66" s="28"/>
      <c r="BL66" s="28"/>
      <c r="BM66" s="28"/>
      <c r="BN66" s="28"/>
      <c r="BO66" s="28"/>
      <c r="BX66" s="28"/>
      <c r="BY66" s="28"/>
      <c r="BZ66" s="28"/>
      <c r="CA66" s="28"/>
      <c r="CB66" s="28"/>
      <c r="CC66" s="28"/>
      <c r="CD66" s="28"/>
      <c r="CE66" s="28"/>
    </row>
    <row r="67" spans="1:83" ht="3.75" customHeight="1" x14ac:dyDescent="0.2">
      <c r="A67" s="6"/>
      <c r="B67" s="14"/>
      <c r="C67" s="14"/>
      <c r="D67" s="7"/>
      <c r="E67" s="7"/>
      <c r="F67" s="7"/>
      <c r="G67" s="7"/>
      <c r="H67" s="7"/>
      <c r="I67" s="7"/>
      <c r="J67" s="7"/>
      <c r="K67" s="7"/>
      <c r="L67" s="7"/>
      <c r="M67" s="7"/>
      <c r="N67" s="7"/>
      <c r="O67" s="7"/>
      <c r="P67" s="7"/>
      <c r="Q67" s="9"/>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8"/>
      <c r="BD67" s="28"/>
      <c r="BE67" s="28"/>
      <c r="BF67" s="28"/>
      <c r="BG67" s="28"/>
      <c r="BH67" s="28"/>
      <c r="BI67" s="28"/>
      <c r="BJ67" s="28"/>
      <c r="BK67" s="28"/>
      <c r="BL67" s="28"/>
      <c r="BM67" s="28"/>
      <c r="BN67" s="28"/>
      <c r="BO67" s="28"/>
      <c r="BX67" s="28"/>
      <c r="BY67" s="28"/>
      <c r="BZ67" s="28"/>
      <c r="CA67" s="28"/>
      <c r="CB67" s="28"/>
      <c r="CC67" s="28"/>
      <c r="CD67" s="28"/>
      <c r="CE67" s="28"/>
    </row>
    <row r="68" spans="1:83" s="28" customFormat="1" x14ac:dyDescent="0.2">
      <c r="A68" s="6"/>
      <c r="B68" s="14"/>
      <c r="C68" s="14" t="s">
        <v>25</v>
      </c>
      <c r="D68" s="7"/>
      <c r="E68" s="7"/>
      <c r="F68" s="7"/>
      <c r="G68" s="7"/>
      <c r="H68" s="7"/>
      <c r="I68" s="7"/>
      <c r="J68" s="7"/>
      <c r="K68" s="7"/>
      <c r="L68" s="7"/>
      <c r="M68" s="7"/>
      <c r="N68" s="7"/>
      <c r="O68" s="7"/>
      <c r="P68" s="7"/>
      <c r="Q68" s="9"/>
      <c r="R68" s="7"/>
      <c r="S68" s="7"/>
      <c r="T68" s="7"/>
      <c r="U68" s="7"/>
      <c r="V68" s="7"/>
      <c r="W68" s="7"/>
      <c r="X68" s="7"/>
      <c r="Y68" s="7"/>
      <c r="Z68" s="7"/>
      <c r="AA68" s="7"/>
      <c r="AB68" s="7"/>
      <c r="AC68" s="7"/>
      <c r="AD68" s="7"/>
      <c r="AE68" s="7"/>
      <c r="AF68" s="7"/>
      <c r="AG68" s="7"/>
      <c r="AH68" s="117" t="str">
        <f>IF(Standard="","Select flow control standard",IF(K70="","Enter contributing area",IF(K72="","Select ponding depth",IF(K74="","Select infiltration rate",
IF(Standard="Pre-developed pasture standard",IFERROR(BG72,BI72),
IF(Standard="Peak Control Standard",IFERROR(BG74,BI74),
IFERROR(IF($BH$72&lt;$BH$74,$BG$72,$BG$74),BI72)))))))</f>
        <v>Select flow control standard</v>
      </c>
      <c r="AI68" s="117"/>
      <c r="AJ68" s="117"/>
      <c r="AK68" s="117"/>
      <c r="AL68" s="117"/>
      <c r="AM68" s="117"/>
      <c r="AN68" s="117"/>
      <c r="AO68" s="117"/>
      <c r="AP68" s="117"/>
      <c r="AQ68" s="117"/>
      <c r="AR68" s="117"/>
      <c r="AS68" s="7"/>
      <c r="AT68" s="7"/>
      <c r="AU68" s="7"/>
      <c r="AV68" s="7"/>
      <c r="AW68" s="7"/>
      <c r="AX68" s="7"/>
      <c r="AY68" s="7"/>
      <c r="AZ68" s="7"/>
      <c r="BA68" s="7"/>
      <c r="BB68" s="8"/>
      <c r="BD68" s="58" t="str">
        <f>C68</f>
        <v>Permeable Pavement Facility</v>
      </c>
      <c r="BP68" s="2"/>
      <c r="BQ68" s="2"/>
      <c r="BR68" s="2"/>
      <c r="BS68" s="2"/>
      <c r="BT68" s="2"/>
      <c r="BU68" s="2"/>
      <c r="BV68" s="2"/>
      <c r="BW68" s="2"/>
    </row>
    <row r="69" spans="1:83" ht="3.75" customHeight="1" x14ac:dyDescent="0.2">
      <c r="A69" s="6"/>
      <c r="B69" s="14"/>
      <c r="C69" s="14"/>
      <c r="D69" s="7"/>
      <c r="E69" s="7"/>
      <c r="F69" s="7"/>
      <c r="G69" s="7"/>
      <c r="H69" s="7"/>
      <c r="I69" s="7"/>
      <c r="J69" s="7"/>
      <c r="K69" s="7"/>
      <c r="L69" s="7"/>
      <c r="M69" s="7"/>
      <c r="N69" s="7"/>
      <c r="O69" s="7"/>
      <c r="P69" s="7"/>
      <c r="Q69" s="9"/>
      <c r="R69" s="7"/>
      <c r="S69" s="7"/>
      <c r="T69" s="7"/>
      <c r="U69" s="7"/>
      <c r="V69" s="7"/>
      <c r="W69" s="7"/>
      <c r="X69" s="7"/>
      <c r="Y69" s="7"/>
      <c r="Z69" s="7"/>
      <c r="AA69" s="7"/>
      <c r="AB69" s="7"/>
      <c r="AC69" s="7"/>
      <c r="AD69" s="7"/>
      <c r="AE69" s="7"/>
      <c r="AF69" s="7"/>
      <c r="AG69" s="7"/>
      <c r="AH69" s="117"/>
      <c r="AI69" s="117"/>
      <c r="AJ69" s="117"/>
      <c r="AK69" s="117"/>
      <c r="AL69" s="117"/>
      <c r="AM69" s="117"/>
      <c r="AN69" s="117"/>
      <c r="AO69" s="117"/>
      <c r="AP69" s="117"/>
      <c r="AQ69" s="117"/>
      <c r="AR69" s="117"/>
      <c r="AS69" s="7"/>
      <c r="AT69" s="7"/>
      <c r="AU69" s="7"/>
      <c r="AV69" s="7"/>
      <c r="AW69" s="7"/>
      <c r="AX69" s="7"/>
      <c r="AY69" s="7"/>
      <c r="AZ69" s="7"/>
      <c r="BA69" s="7"/>
      <c r="BB69" s="8"/>
      <c r="BD69" s="28"/>
      <c r="BE69" s="28"/>
      <c r="BF69" s="28"/>
      <c r="BG69" s="28"/>
      <c r="BH69" s="28"/>
      <c r="BI69" s="28"/>
      <c r="BJ69" s="28"/>
      <c r="BK69" s="28"/>
      <c r="BL69" s="28"/>
      <c r="BM69" s="28"/>
      <c r="BN69" s="28"/>
      <c r="BO69" s="28"/>
      <c r="BX69" s="28"/>
      <c r="BY69" s="28"/>
      <c r="BZ69" s="28"/>
      <c r="CA69" s="28"/>
      <c r="CB69" s="28"/>
      <c r="CC69" s="28"/>
      <c r="CD69" s="28"/>
      <c r="CE69" s="28"/>
    </row>
    <row r="70" spans="1:83" s="28" customFormat="1" x14ac:dyDescent="0.2">
      <c r="A70" s="21"/>
      <c r="B70" s="23"/>
      <c r="C70" s="23"/>
      <c r="D70" s="22" t="s">
        <v>23</v>
      </c>
      <c r="E70" s="22"/>
      <c r="F70" s="22"/>
      <c r="G70" s="22"/>
      <c r="H70" s="22"/>
      <c r="I70" s="22"/>
      <c r="J70" s="22"/>
      <c r="K70" s="126"/>
      <c r="L70" s="126"/>
      <c r="M70" s="126"/>
      <c r="N70" s="126"/>
      <c r="O70" s="22" t="s">
        <v>7</v>
      </c>
      <c r="P70" s="22"/>
      <c r="Q70" s="1" t="s">
        <v>60</v>
      </c>
      <c r="R70" s="22"/>
      <c r="S70" s="22"/>
      <c r="T70" s="22"/>
      <c r="U70" s="22"/>
      <c r="V70" s="22"/>
      <c r="W70" s="22"/>
      <c r="X70" s="22"/>
      <c r="Y70" s="24" t="str">
        <f>IFERROR(IF(AND(AH68=BG72,BF72&gt;0),"[ ",""),"")</f>
        <v/>
      </c>
      <c r="Z70" s="126"/>
      <c r="AA70" s="126"/>
      <c r="AB70" s="126"/>
      <c r="AC70" s="126"/>
      <c r="AD70" s="22" t="s">
        <v>7</v>
      </c>
      <c r="AE70" s="22"/>
      <c r="AF70" s="77" t="str">
        <f>IFERROR(IF(AND(AH68=BG72,BF72&gt;0),"-","÷"),":")</f>
        <v>:</v>
      </c>
      <c r="AG70" s="22"/>
      <c r="AH70" s="118"/>
      <c r="AI70" s="118"/>
      <c r="AJ70" s="118"/>
      <c r="AK70" s="118"/>
      <c r="AL70" s="118"/>
      <c r="AM70" s="118"/>
      <c r="AN70" s="118"/>
      <c r="AO70" s="118"/>
      <c r="AP70" s="118"/>
      <c r="AQ70" s="118"/>
      <c r="AR70" s="118"/>
      <c r="AS70" s="22"/>
      <c r="AT70" s="77" t="s">
        <v>131</v>
      </c>
      <c r="AU70" s="22"/>
      <c r="AV70" s="146" t="str">
        <f>IF(K70="","",IFERROR(
IF(Standard="Pre-Developed Pasture Standard",MIN(K70,BH72),
IF(Standard="Peak Control Standard",MIN(K70,BH74),
IF(Standard="Pre-Developed Pasture and Peak Control Standards",MIN(K70,BH72,BH74),""))),""))</f>
        <v/>
      </c>
      <c r="AW70" s="146"/>
      <c r="AX70" s="146"/>
      <c r="AY70" s="146"/>
      <c r="AZ70" s="146"/>
      <c r="BA70" s="22" t="s">
        <v>7</v>
      </c>
      <c r="BB70" s="27"/>
      <c r="BD70" s="28" t="s">
        <v>90</v>
      </c>
      <c r="BE70" s="59" t="s">
        <v>84</v>
      </c>
      <c r="BF70" s="59" t="s">
        <v>85</v>
      </c>
      <c r="BG70" s="59" t="s">
        <v>89</v>
      </c>
      <c r="BH70" s="59" t="s">
        <v>17</v>
      </c>
      <c r="BI70" s="59" t="s">
        <v>92</v>
      </c>
      <c r="BP70" s="2"/>
      <c r="BQ70" s="2"/>
      <c r="BR70" s="2"/>
      <c r="BS70" s="2"/>
      <c r="BT70" s="2"/>
      <c r="BU70" s="2"/>
      <c r="BV70" s="2"/>
      <c r="BW70" s="2"/>
    </row>
    <row r="71" spans="1:83" ht="3.75" customHeight="1" x14ac:dyDescent="0.2">
      <c r="A71" s="6"/>
      <c r="B71" s="14"/>
      <c r="C71" s="14"/>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8"/>
      <c r="BD71" s="28"/>
      <c r="BE71" s="28"/>
      <c r="BF71" s="28"/>
      <c r="BG71" s="28"/>
      <c r="BH71" s="28"/>
      <c r="BI71" s="28"/>
      <c r="BJ71" s="28"/>
      <c r="BK71" s="28"/>
      <c r="BL71" s="28"/>
      <c r="BM71" s="28"/>
      <c r="BN71" s="28"/>
      <c r="BO71" s="28"/>
      <c r="BX71" s="28"/>
      <c r="BY71" s="28"/>
      <c r="BZ71" s="28"/>
      <c r="CA71" s="28"/>
      <c r="CB71" s="28"/>
      <c r="CC71" s="28"/>
      <c r="CD71" s="28"/>
      <c r="CE71" s="28"/>
    </row>
    <row r="72" spans="1:83" x14ac:dyDescent="0.2">
      <c r="A72" s="21"/>
      <c r="B72" s="23"/>
      <c r="C72" s="23"/>
      <c r="D72" s="22" t="s">
        <v>24</v>
      </c>
      <c r="E72" s="22"/>
      <c r="F72" s="22"/>
      <c r="G72" s="22"/>
      <c r="H72" s="22"/>
      <c r="I72" s="22"/>
      <c r="J72" s="22"/>
      <c r="K72" s="144"/>
      <c r="L72" s="144"/>
      <c r="M72" s="144"/>
      <c r="N72" s="144"/>
      <c r="O72" s="22" t="s">
        <v>52</v>
      </c>
      <c r="P72" s="22"/>
      <c r="Q72" s="120" t="str">
        <f>IFERROR(IF(AND(K70&gt;Z70*5,BH74=Z70*5,K70&lt;&gt;"",Z70&lt;&gt;"",K72&lt;&gt;"",K74&lt;&gt;"",Standard&lt;&gt;""),"The maximum contributing area is 5 times the permeable pavement area",""),"")</f>
        <v/>
      </c>
      <c r="R72" s="120"/>
      <c r="S72" s="120"/>
      <c r="T72" s="120"/>
      <c r="U72" s="120"/>
      <c r="V72" s="120"/>
      <c r="W72" s="120"/>
      <c r="X72" s="120"/>
      <c r="Y72" s="120"/>
      <c r="Z72" s="120"/>
      <c r="AA72" s="120"/>
      <c r="AB72" s="120"/>
      <c r="AC72" s="120"/>
      <c r="AD72" s="120"/>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7"/>
      <c r="BD72" s="28" t="s">
        <v>9</v>
      </c>
      <c r="BE72" s="59" t="e">
        <f>INDEX('Sizing Factors'!$H:$H,MATCH(C68&amp;K72&amp;K74&amp;IF(K70&lt;=2000,"02000",IF(K70&lt;=10000,"200010000","x"))&amp;$BD$72,'Sizing Factors'!$K:$K,0))</f>
        <v>#N/A</v>
      </c>
      <c r="BF72" s="59" t="e">
        <f>INDEX('Sizing Factors'!$I:$I,MATCH(C68&amp;K72&amp;K74&amp;IF(K70&lt;=2000,"02000",IF(K70&lt;=10000,"200010000","x"))&amp;$BD$72,'Sizing Factors'!$K:$K,0))</f>
        <v>#N/A</v>
      </c>
      <c r="BG72" s="59" t="e">
        <f>IF(BF72=0,BE72*100&amp;"%",BF72&amp;" ] ÷ "&amp;BE72)</f>
        <v>#N/A</v>
      </c>
      <c r="BH72" s="60" t="e">
        <f>MIN(MAX(($Z$70-$BF$72)/$BE$72,0),Z70*5)</f>
        <v>#N/A</v>
      </c>
      <c r="BI72" s="28" t="str">
        <f>IF(K70&gt;10000,"Not applicable for contributing area &gt; 10,000 sf","")</f>
        <v/>
      </c>
      <c r="BJ72" s="28"/>
      <c r="BK72" s="28"/>
      <c r="BL72" s="28"/>
      <c r="BM72" s="28"/>
      <c r="BN72" s="28"/>
      <c r="BO72" s="28"/>
      <c r="BX72" s="28"/>
      <c r="BY72" s="28"/>
      <c r="BZ72" s="28"/>
      <c r="CA72" s="28"/>
      <c r="CB72" s="28"/>
      <c r="CC72" s="28"/>
      <c r="CD72" s="28"/>
      <c r="CE72" s="28"/>
    </row>
    <row r="73" spans="1:83" ht="3.75" customHeight="1" x14ac:dyDescent="0.2">
      <c r="A73" s="6"/>
      <c r="B73" s="14"/>
      <c r="C73" s="14"/>
      <c r="D73" s="7"/>
      <c r="E73" s="7"/>
      <c r="F73" s="7"/>
      <c r="G73" s="7"/>
      <c r="H73" s="7"/>
      <c r="I73" s="7"/>
      <c r="J73" s="7"/>
      <c r="K73" s="7"/>
      <c r="L73" s="7"/>
      <c r="M73" s="7"/>
      <c r="N73" s="7"/>
      <c r="O73" s="7"/>
      <c r="P73" s="7"/>
      <c r="Q73" s="120"/>
      <c r="R73" s="120"/>
      <c r="S73" s="120"/>
      <c r="T73" s="120"/>
      <c r="U73" s="120"/>
      <c r="V73" s="120"/>
      <c r="W73" s="120"/>
      <c r="X73" s="120"/>
      <c r="Y73" s="120"/>
      <c r="Z73" s="120"/>
      <c r="AA73" s="120"/>
      <c r="AB73" s="120"/>
      <c r="AC73" s="120"/>
      <c r="AD73" s="120"/>
      <c r="AE73" s="7"/>
      <c r="AF73" s="7"/>
      <c r="AG73" s="7"/>
      <c r="AH73" s="7"/>
      <c r="AI73" s="7"/>
      <c r="AJ73" s="7"/>
      <c r="AK73" s="7"/>
      <c r="AL73" s="7"/>
      <c r="AM73" s="7"/>
      <c r="AN73" s="7"/>
      <c r="AO73" s="7"/>
      <c r="AP73" s="7"/>
      <c r="AQ73" s="7"/>
      <c r="AR73" s="7"/>
      <c r="AS73" s="7"/>
      <c r="AT73" s="7"/>
      <c r="AU73" s="7"/>
      <c r="AV73" s="7"/>
      <c r="AW73" s="7"/>
      <c r="AX73" s="7"/>
      <c r="AY73" s="7"/>
      <c r="AZ73" s="7"/>
      <c r="BA73" s="7"/>
      <c r="BB73" s="8"/>
      <c r="BD73" s="28"/>
      <c r="BE73" s="28"/>
      <c r="BF73" s="28"/>
      <c r="BG73" s="28"/>
      <c r="BH73" s="28"/>
      <c r="BI73" s="28"/>
      <c r="BJ73" s="28"/>
      <c r="BK73" s="28"/>
      <c r="BL73" s="28"/>
      <c r="BM73" s="28"/>
      <c r="BN73" s="28"/>
      <c r="BO73" s="28"/>
      <c r="BX73" s="28"/>
      <c r="BY73" s="28"/>
      <c r="BZ73" s="28"/>
      <c r="CA73" s="28"/>
      <c r="CB73" s="28"/>
      <c r="CC73" s="28"/>
      <c r="CD73" s="28"/>
      <c r="CE73" s="28"/>
    </row>
    <row r="74" spans="1:83" x14ac:dyDescent="0.2">
      <c r="A74" s="21"/>
      <c r="B74" s="23"/>
      <c r="C74" s="23"/>
      <c r="D74" s="22" t="s">
        <v>149</v>
      </c>
      <c r="E74" s="22"/>
      <c r="F74" s="22"/>
      <c r="G74" s="22"/>
      <c r="H74" s="22"/>
      <c r="I74" s="22"/>
      <c r="J74" s="22"/>
      <c r="K74" s="144"/>
      <c r="L74" s="144"/>
      <c r="M74" s="144"/>
      <c r="N74" s="144"/>
      <c r="O74" s="22" t="s">
        <v>53</v>
      </c>
      <c r="P74" s="22"/>
      <c r="Q74" s="120"/>
      <c r="R74" s="120"/>
      <c r="S74" s="120"/>
      <c r="T74" s="120"/>
      <c r="U74" s="120"/>
      <c r="V74" s="120"/>
      <c r="W74" s="120"/>
      <c r="X74" s="120"/>
      <c r="Y74" s="120"/>
      <c r="Z74" s="120"/>
      <c r="AA74" s="120"/>
      <c r="AB74" s="120"/>
      <c r="AC74" s="120"/>
      <c r="AD74" s="120"/>
      <c r="AE74" s="22"/>
      <c r="AF74" s="22"/>
      <c r="AG74" s="22"/>
      <c r="AH74" s="130" t="s">
        <v>60</v>
      </c>
      <c r="AI74" s="130"/>
      <c r="AJ74" s="130"/>
      <c r="AK74" s="130"/>
      <c r="AL74" s="130"/>
      <c r="AM74" s="130"/>
      <c r="AN74" s="130"/>
      <c r="AO74" s="130"/>
      <c r="AP74" s="130"/>
      <c r="AQ74" s="130"/>
      <c r="AR74" s="130"/>
      <c r="AS74" s="22"/>
      <c r="AT74" s="78" t="s">
        <v>131</v>
      </c>
      <c r="AU74" s="22"/>
      <c r="AV74" s="146" t="str">
        <f>IF(Z70="","",Z70)</f>
        <v/>
      </c>
      <c r="AW74" s="146"/>
      <c r="AX74" s="146"/>
      <c r="AY74" s="146"/>
      <c r="AZ74" s="146"/>
      <c r="BA74" s="22" t="s">
        <v>7</v>
      </c>
      <c r="BB74" s="27"/>
      <c r="BD74" s="28" t="s">
        <v>82</v>
      </c>
      <c r="BE74" s="59" t="e">
        <f>IF(K70&gt;10000,"NA",INDEX('Sizing Factors'!$H:$H,MATCH(C68&amp;K72&amp;K74&amp;$BD$74,'Sizing Factors'!$K:$K,0)))</f>
        <v>#N/A</v>
      </c>
      <c r="BF74" s="59" t="e">
        <f>INDEX('Sizing Factors'!$I:$I,MATCH(C68&amp;K72&amp;K74&amp;$BD$74,'Sizing Factors'!$K:$K,0))</f>
        <v>#N/A</v>
      </c>
      <c r="BG74" s="59" t="e">
        <f>IF(BF74=0,BE74*100&amp;"%",BF74&amp;" ] ÷ "&amp;BE74)</f>
        <v>#N/A</v>
      </c>
      <c r="BH74" s="60" t="e">
        <f>MIN(($Z$70-$BF$74)/$BE$74,Z70*5)</f>
        <v>#N/A</v>
      </c>
      <c r="BI74" s="28" t="str">
        <f>IF(K70&gt;10000,"Not applicable for contributing area &gt; 10,000 sf","")</f>
        <v/>
      </c>
      <c r="BJ74" s="28"/>
      <c r="BK74" s="28"/>
      <c r="BL74" s="28"/>
      <c r="BM74" s="28"/>
      <c r="BN74" s="28"/>
      <c r="BO74" s="28"/>
      <c r="BX74" s="28"/>
      <c r="BY74" s="28"/>
      <c r="BZ74" s="28"/>
      <c r="CA74" s="28"/>
      <c r="CB74" s="28"/>
      <c r="CC74" s="28"/>
      <c r="CD74" s="28"/>
      <c r="CE74" s="28"/>
    </row>
    <row r="75" spans="1:83" ht="3.75" customHeight="1" x14ac:dyDescent="0.2">
      <c r="A75" s="6"/>
      <c r="B75" s="14"/>
      <c r="C75" s="14"/>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8"/>
      <c r="BD75" s="28"/>
      <c r="BE75" s="28"/>
      <c r="BF75" s="28"/>
      <c r="BG75" s="28"/>
      <c r="BH75" s="28"/>
      <c r="BI75" s="28"/>
      <c r="BJ75" s="28"/>
      <c r="BK75" s="28"/>
      <c r="BL75" s="28"/>
      <c r="BM75" s="28"/>
      <c r="BN75" s="28"/>
      <c r="BO75" s="28"/>
      <c r="BX75" s="28"/>
      <c r="BY75" s="28"/>
      <c r="BZ75" s="28"/>
      <c r="CA75" s="28"/>
      <c r="CB75" s="28"/>
      <c r="CC75" s="28"/>
      <c r="CD75" s="28"/>
      <c r="CE75" s="28"/>
    </row>
    <row r="76" spans="1:83" x14ac:dyDescent="0.2">
      <c r="A76" s="6"/>
      <c r="B76" s="13" t="s">
        <v>27</v>
      </c>
      <c r="C76" s="14"/>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8"/>
      <c r="BD76" s="28"/>
      <c r="BE76" s="28"/>
      <c r="BF76" s="28"/>
      <c r="BG76" s="28"/>
      <c r="BH76" s="28"/>
      <c r="BI76" s="28"/>
      <c r="BJ76" s="28"/>
      <c r="BK76" s="28"/>
      <c r="BL76" s="28"/>
      <c r="BM76" s="28"/>
      <c r="BN76" s="28"/>
      <c r="BO76" s="28"/>
      <c r="BX76" s="28"/>
      <c r="BY76" s="28"/>
      <c r="BZ76" s="28"/>
      <c r="CA76" s="28"/>
      <c r="CB76" s="28"/>
      <c r="CC76" s="28"/>
      <c r="CD76" s="28"/>
      <c r="CE76" s="28"/>
    </row>
    <row r="77" spans="1:83" ht="3.75" customHeight="1" x14ac:dyDescent="0.2">
      <c r="A77" s="6"/>
      <c r="B77" s="14"/>
      <c r="C77" s="14"/>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8"/>
      <c r="BD77" s="28"/>
      <c r="BE77" s="28"/>
      <c r="BF77" s="28"/>
      <c r="BG77" s="28"/>
      <c r="BH77" s="28"/>
      <c r="BI77" s="28"/>
      <c r="BJ77" s="28"/>
      <c r="BK77" s="28"/>
      <c r="BL77" s="28"/>
      <c r="BM77" s="28"/>
      <c r="BN77" s="28"/>
      <c r="BO77" s="28"/>
      <c r="BX77" s="28"/>
      <c r="BY77" s="28"/>
      <c r="BZ77" s="28"/>
      <c r="CA77" s="28"/>
      <c r="CB77" s="28"/>
      <c r="CC77" s="28"/>
      <c r="CD77" s="28"/>
      <c r="CE77" s="28"/>
    </row>
    <row r="78" spans="1:83" x14ac:dyDescent="0.2">
      <c r="A78" s="6"/>
      <c r="B78" s="14"/>
      <c r="C78" s="14" t="s">
        <v>28</v>
      </c>
      <c r="D78" s="7"/>
      <c r="E78" s="7"/>
      <c r="F78" s="7"/>
      <c r="G78" s="7"/>
      <c r="H78" s="7"/>
      <c r="I78" s="7"/>
      <c r="J78" s="7"/>
      <c r="K78" s="7"/>
      <c r="L78" s="7"/>
      <c r="M78" s="7"/>
      <c r="N78" s="7"/>
      <c r="O78" s="7"/>
      <c r="P78" s="7"/>
      <c r="Q78" s="22" t="s">
        <v>61</v>
      </c>
      <c r="R78" s="15"/>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126"/>
      <c r="AW78" s="126"/>
      <c r="AX78" s="126"/>
      <c r="AY78" s="126"/>
      <c r="AZ78" s="126"/>
      <c r="BA78" s="22" t="s">
        <v>7</v>
      </c>
      <c r="BB78" s="8"/>
      <c r="BD78" s="28"/>
      <c r="BE78" s="28"/>
      <c r="BF78" s="28"/>
      <c r="BG78" s="28"/>
      <c r="BH78" s="28"/>
      <c r="BI78" s="28"/>
      <c r="BJ78" s="28"/>
      <c r="BK78" s="28"/>
      <c r="BL78" s="28"/>
      <c r="BM78" s="28"/>
      <c r="BN78" s="28"/>
      <c r="BO78" s="28"/>
      <c r="BX78" s="28"/>
      <c r="BY78" s="28"/>
      <c r="BZ78" s="28"/>
      <c r="CA78" s="28"/>
      <c r="CB78" s="28"/>
      <c r="CC78" s="28"/>
      <c r="CD78" s="28"/>
      <c r="CE78" s="28"/>
    </row>
    <row r="79" spans="1:83" ht="3.75" customHeight="1" x14ac:dyDescent="0.2">
      <c r="A79" s="6"/>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8"/>
      <c r="BD79" s="28"/>
      <c r="BE79" s="28"/>
      <c r="BF79" s="28"/>
      <c r="BG79" s="28"/>
      <c r="BH79" s="28"/>
      <c r="BI79" s="28"/>
      <c r="BJ79" s="28"/>
      <c r="BK79" s="28"/>
      <c r="BL79" s="28"/>
      <c r="BM79" s="28"/>
      <c r="BN79" s="28"/>
      <c r="BO79" s="28"/>
    </row>
    <row r="80" spans="1:83" s="58" customFormat="1" x14ac:dyDescent="0.2">
      <c r="A80" s="107" t="s">
        <v>31</v>
      </c>
      <c r="B80" s="108"/>
      <c r="C80" s="108"/>
      <c r="D80" s="108"/>
      <c r="E80" s="108"/>
      <c r="F80" s="108"/>
      <c r="G80" s="108"/>
      <c r="H80" s="108"/>
      <c r="I80" s="108"/>
      <c r="J80" s="108"/>
      <c r="K80" s="108"/>
      <c r="L80" s="108"/>
      <c r="M80" s="108"/>
      <c r="N80" s="108"/>
      <c r="O80" s="108"/>
      <c r="P80" s="108"/>
      <c r="Q80" s="119" t="s">
        <v>15</v>
      </c>
      <c r="R80" s="119"/>
      <c r="S80" s="119"/>
      <c r="T80" s="119"/>
      <c r="U80" s="119"/>
      <c r="V80" s="119"/>
      <c r="W80" s="119"/>
      <c r="X80" s="119"/>
      <c r="Y80" s="119"/>
      <c r="Z80" s="119"/>
      <c r="AA80" s="119"/>
      <c r="AB80" s="119"/>
      <c r="AC80" s="119"/>
      <c r="AD80" s="119"/>
      <c r="AE80" s="108"/>
      <c r="AF80" s="108"/>
      <c r="AG80" s="108"/>
      <c r="AH80" s="119" t="s">
        <v>16</v>
      </c>
      <c r="AI80" s="119"/>
      <c r="AJ80" s="119"/>
      <c r="AK80" s="119"/>
      <c r="AL80" s="119"/>
      <c r="AM80" s="119"/>
      <c r="AN80" s="119"/>
      <c r="AO80" s="119"/>
      <c r="AP80" s="119"/>
      <c r="AQ80" s="119"/>
      <c r="AR80" s="119"/>
      <c r="AS80" s="108"/>
      <c r="AT80" s="108"/>
      <c r="AU80" s="108"/>
      <c r="AV80" s="119" t="s">
        <v>17</v>
      </c>
      <c r="AW80" s="119"/>
      <c r="AX80" s="119"/>
      <c r="AY80" s="119"/>
      <c r="AZ80" s="119"/>
      <c r="BA80" s="119"/>
      <c r="BB80" s="109"/>
      <c r="BD80" s="90"/>
      <c r="BE80" s="90"/>
      <c r="BF80" s="90"/>
      <c r="BG80" s="90"/>
      <c r="BH80" s="90"/>
      <c r="BI80" s="90"/>
      <c r="BJ80" s="90"/>
      <c r="BK80" s="90"/>
      <c r="BL80" s="90"/>
      <c r="BM80" s="90"/>
      <c r="BN80" s="90"/>
      <c r="BO80" s="90"/>
    </row>
    <row r="81" spans="1:75" ht="3.75" customHeight="1" x14ac:dyDescent="0.2">
      <c r="A81" s="6"/>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8"/>
      <c r="BD81" s="28"/>
      <c r="BE81" s="28"/>
      <c r="BF81" s="28"/>
      <c r="BG81" s="28"/>
      <c r="BH81" s="28"/>
      <c r="BI81" s="28"/>
      <c r="BJ81" s="28"/>
      <c r="BK81" s="28"/>
      <c r="BL81" s="28"/>
      <c r="BM81" s="28"/>
      <c r="BN81" s="28"/>
      <c r="BO81" s="28"/>
    </row>
    <row r="82" spans="1:75" x14ac:dyDescent="0.2">
      <c r="A82" s="6"/>
      <c r="B82" s="13" t="s">
        <v>29</v>
      </c>
      <c r="C82" s="14"/>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8"/>
      <c r="BD82" s="28"/>
      <c r="BE82" s="28"/>
      <c r="BF82" s="28"/>
      <c r="BG82" s="28"/>
      <c r="BH82" s="28"/>
      <c r="BI82" s="28"/>
      <c r="BJ82" s="28"/>
      <c r="BK82" s="28"/>
      <c r="BL82" s="28"/>
      <c r="BM82" s="28"/>
      <c r="BN82" s="28"/>
      <c r="BO82" s="28"/>
      <c r="BP82" s="28"/>
      <c r="BQ82" s="28"/>
      <c r="BR82" s="28"/>
      <c r="BS82" s="28"/>
      <c r="BT82" s="28"/>
      <c r="BU82" s="28"/>
      <c r="BV82" s="28"/>
      <c r="BW82" s="28"/>
    </row>
    <row r="83" spans="1:75" ht="3.75" customHeight="1" x14ac:dyDescent="0.2">
      <c r="A83" s="6"/>
      <c r="B83" s="14"/>
      <c r="C83" s="14"/>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8"/>
      <c r="BD83" s="28"/>
      <c r="BE83" s="28"/>
      <c r="BF83" s="28"/>
      <c r="BG83" s="28"/>
      <c r="BH83" s="28"/>
      <c r="BI83" s="28"/>
      <c r="BJ83" s="28"/>
      <c r="BK83" s="28"/>
      <c r="BL83" s="28"/>
      <c r="BM83" s="28"/>
      <c r="BN83" s="28"/>
      <c r="BO83" s="28"/>
    </row>
    <row r="84" spans="1:75" s="28" customFormat="1" x14ac:dyDescent="0.2">
      <c r="A84" s="6"/>
      <c r="B84" s="14"/>
      <c r="C84" s="14" t="s">
        <v>74</v>
      </c>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8"/>
      <c r="BD84" s="58" t="str">
        <f>C84</f>
        <v>Permeable Pavement Surface</v>
      </c>
      <c r="BE84" s="28" t="s">
        <v>9</v>
      </c>
      <c r="BF84" s="28" t="s">
        <v>82</v>
      </c>
    </row>
    <row r="85" spans="1:75" ht="3.75" customHeight="1" x14ac:dyDescent="0.2">
      <c r="A85" s="6"/>
      <c r="B85" s="14"/>
      <c r="C85" s="14"/>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8"/>
      <c r="BD85" s="28"/>
      <c r="BE85" s="28"/>
      <c r="BF85" s="28"/>
      <c r="BG85" s="28"/>
      <c r="BH85" s="28"/>
      <c r="BI85" s="28"/>
      <c r="BJ85" s="28"/>
      <c r="BK85" s="28"/>
      <c r="BL85" s="28"/>
      <c r="BM85" s="28"/>
      <c r="BN85" s="28"/>
      <c r="BO85" s="28"/>
    </row>
    <row r="86" spans="1:75" s="28" customFormat="1" x14ac:dyDescent="0.2">
      <c r="A86" s="21"/>
      <c r="B86" s="23"/>
      <c r="C86" s="25"/>
      <c r="D86" s="22" t="s">
        <v>75</v>
      </c>
      <c r="E86" s="22"/>
      <c r="F86" s="22"/>
      <c r="G86" s="22"/>
      <c r="H86" s="22"/>
      <c r="I86" s="22"/>
      <c r="J86" s="22"/>
      <c r="K86" s="22"/>
      <c r="L86" s="22"/>
      <c r="M86" s="22"/>
      <c r="N86" s="22"/>
      <c r="O86" s="22"/>
      <c r="P86" s="22"/>
      <c r="Q86" s="1" t="s">
        <v>60</v>
      </c>
      <c r="R86" s="22"/>
      <c r="S86" s="22"/>
      <c r="T86" s="22"/>
      <c r="U86" s="22"/>
      <c r="V86" s="22"/>
      <c r="W86" s="22"/>
      <c r="X86" s="22"/>
      <c r="Y86" s="24"/>
      <c r="Z86" s="126"/>
      <c r="AA86" s="126"/>
      <c r="AB86" s="126"/>
      <c r="AC86" s="126"/>
      <c r="AD86" s="22" t="s">
        <v>7</v>
      </c>
      <c r="AE86" s="22"/>
      <c r="AF86" s="26" t="s">
        <v>50</v>
      </c>
      <c r="AG86" s="22"/>
      <c r="AH86" s="118" t="str">
        <f xml:space="preserve">
IF(Standard="","Select flow control standard",
IF(Standard="Pre-developed pasture standard",BE86,
IF(Standard="Peak Control Standard",BF86,
MIN(BF86,BE86))))</f>
        <v>Select flow control standard</v>
      </c>
      <c r="AI86" s="118"/>
      <c r="AJ86" s="118"/>
      <c r="AK86" s="118"/>
      <c r="AL86" s="118"/>
      <c r="AM86" s="118"/>
      <c r="AN86" s="118"/>
      <c r="AO86" s="118"/>
      <c r="AP86" s="118"/>
      <c r="AQ86" s="118"/>
      <c r="AR86" s="118"/>
      <c r="AS86" s="22"/>
      <c r="AT86" s="26" t="str">
        <f>"="</f>
        <v>=</v>
      </c>
      <c r="AU86" s="22"/>
      <c r="AV86" s="131" t="str">
        <f>IFERROR(IF(Z86="","",Z86*AH86),"")</f>
        <v/>
      </c>
      <c r="AW86" s="131"/>
      <c r="AX86" s="131"/>
      <c r="AY86" s="131"/>
      <c r="AZ86" s="131"/>
      <c r="BA86" s="22" t="s">
        <v>7</v>
      </c>
      <c r="BB86" s="27"/>
      <c r="BD86" s="28" t="s">
        <v>104</v>
      </c>
      <c r="BE86" s="28">
        <f>INDEX('Sizing Factors'!$H:$H,MATCH($BD$84&amp;$BD$86&amp;$BE$84,'Sizing Factors'!$K:$K,0))</f>
        <v>1</v>
      </c>
      <c r="BF86" s="28">
        <f>INDEX('Sizing Factors'!$H:$H,MATCH($BD$84&amp;$BD$86&amp;$BF$84,'Sizing Factors'!$K:$K,0))</f>
        <v>0.96</v>
      </c>
      <c r="BP86" s="2"/>
      <c r="BQ86" s="2"/>
      <c r="BR86" s="2"/>
      <c r="BS86" s="2"/>
      <c r="BT86" s="2"/>
      <c r="BU86" s="2"/>
      <c r="BV86" s="2"/>
      <c r="BW86" s="2"/>
    </row>
    <row r="87" spans="1:75" ht="3.75" customHeight="1" x14ac:dyDescent="0.2">
      <c r="A87" s="6"/>
      <c r="B87" s="14"/>
      <c r="C87" s="14"/>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8"/>
      <c r="BD87" s="28"/>
      <c r="BE87" s="28"/>
      <c r="BF87" s="28"/>
      <c r="BG87" s="28"/>
      <c r="BH87" s="28"/>
      <c r="BI87" s="28"/>
      <c r="BJ87" s="28"/>
      <c r="BK87" s="28"/>
      <c r="BL87" s="28"/>
      <c r="BM87" s="28"/>
      <c r="BN87" s="28"/>
      <c r="BO87" s="28"/>
    </row>
    <row r="88" spans="1:75" x14ac:dyDescent="0.2">
      <c r="A88" s="21"/>
      <c r="B88" s="23"/>
      <c r="C88" s="23"/>
      <c r="D88" s="22" t="s">
        <v>76</v>
      </c>
      <c r="E88" s="22"/>
      <c r="F88" s="22"/>
      <c r="G88" s="22"/>
      <c r="H88" s="22"/>
      <c r="I88" s="22"/>
      <c r="J88" s="22"/>
      <c r="K88" s="22"/>
      <c r="L88" s="22"/>
      <c r="M88" s="22"/>
      <c r="N88" s="22"/>
      <c r="O88" s="22"/>
      <c r="P88" s="22"/>
      <c r="Q88" s="1" t="s">
        <v>60</v>
      </c>
      <c r="R88" s="22"/>
      <c r="S88" s="22"/>
      <c r="T88" s="22"/>
      <c r="U88" s="22"/>
      <c r="V88" s="22"/>
      <c r="W88" s="22"/>
      <c r="X88" s="22"/>
      <c r="Y88" s="24"/>
      <c r="Z88" s="126"/>
      <c r="AA88" s="126"/>
      <c r="AB88" s="126"/>
      <c r="AC88" s="126"/>
      <c r="AD88" s="22" t="s">
        <v>7</v>
      </c>
      <c r="AE88" s="22"/>
      <c r="AF88" s="26" t="s">
        <v>50</v>
      </c>
      <c r="AG88" s="22"/>
      <c r="AH88" s="118" t="str">
        <f xml:space="preserve">
IF(Standard="","Select flow control standard",
IF(Standard="Pre-developed pasture standard",BE88,
IF(Standard="Peak Control Standard",BF88,
MIN(BF88,BE88))))</f>
        <v>Select flow control standard</v>
      </c>
      <c r="AI88" s="118"/>
      <c r="AJ88" s="118"/>
      <c r="AK88" s="118"/>
      <c r="AL88" s="118"/>
      <c r="AM88" s="118"/>
      <c r="AN88" s="118"/>
      <c r="AO88" s="118"/>
      <c r="AP88" s="118"/>
      <c r="AQ88" s="118"/>
      <c r="AR88" s="118"/>
      <c r="AS88" s="22"/>
      <c r="AT88" s="26" t="str">
        <f>"="</f>
        <v>=</v>
      </c>
      <c r="AU88" s="22"/>
      <c r="AV88" s="131" t="str">
        <f>IFERROR(IF(Z88="","",Z88*AH88),"")</f>
        <v/>
      </c>
      <c r="AW88" s="131"/>
      <c r="AX88" s="131"/>
      <c r="AY88" s="131"/>
      <c r="AZ88" s="131"/>
      <c r="BA88" s="22" t="s">
        <v>7</v>
      </c>
      <c r="BB88" s="27"/>
      <c r="BD88" s="28" t="s">
        <v>102</v>
      </c>
      <c r="BE88" s="28">
        <f>INDEX('Sizing Factors'!$H:$H,MATCH($BD$84&amp;$BD$88&amp;$BE$84,'Sizing Factors'!$K:$K,0))</f>
        <v>0.99</v>
      </c>
      <c r="BF88" s="28">
        <f>INDEX('Sizing Factors'!$H:$H,MATCH($BD$84&amp;$BD$88&amp;$BF$84,'Sizing Factors'!$K:$K,0))</f>
        <v>0.71</v>
      </c>
      <c r="BG88" s="28"/>
      <c r="BH88" s="28"/>
      <c r="BI88" s="28"/>
      <c r="BJ88" s="28"/>
      <c r="BK88" s="28"/>
      <c r="BL88" s="28"/>
      <c r="BM88" s="28"/>
      <c r="BN88" s="28"/>
      <c r="BO88" s="28"/>
    </row>
    <row r="89" spans="1:75" ht="3.75" customHeight="1" x14ac:dyDescent="0.2">
      <c r="A89" s="6"/>
      <c r="B89" s="14"/>
      <c r="C89" s="14"/>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8"/>
      <c r="BD89" s="28"/>
      <c r="BE89" s="28"/>
      <c r="BF89" s="28"/>
      <c r="BG89" s="28"/>
      <c r="BH89" s="28"/>
      <c r="BI89" s="28"/>
      <c r="BJ89" s="28"/>
      <c r="BK89" s="28"/>
      <c r="BL89" s="28"/>
      <c r="BM89" s="28"/>
      <c r="BN89" s="28"/>
      <c r="BO89" s="28"/>
    </row>
    <row r="90" spans="1:75" x14ac:dyDescent="0.2">
      <c r="A90" s="6"/>
      <c r="B90" s="13" t="s">
        <v>30</v>
      </c>
      <c r="C90" s="14"/>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8"/>
      <c r="BD90" s="58" t="str">
        <f>C92</f>
        <v>Vegetated Roof System</v>
      </c>
      <c r="BE90" s="28" t="s">
        <v>9</v>
      </c>
      <c r="BF90" s="28" t="s">
        <v>82</v>
      </c>
      <c r="BG90" s="28"/>
      <c r="BH90" s="28"/>
      <c r="BI90" s="28"/>
      <c r="BJ90" s="28"/>
      <c r="BK90" s="28"/>
      <c r="BL90" s="28"/>
      <c r="BM90" s="28"/>
      <c r="BN90" s="28"/>
      <c r="BO90" s="28"/>
    </row>
    <row r="91" spans="1:75" ht="3.75" customHeight="1" x14ac:dyDescent="0.2">
      <c r="A91" s="6"/>
      <c r="B91" s="14"/>
      <c r="C91" s="14"/>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8"/>
      <c r="BD91" s="28"/>
      <c r="BE91" s="28"/>
      <c r="BF91" s="28"/>
      <c r="BG91" s="28"/>
      <c r="BH91" s="28"/>
      <c r="BI91" s="28"/>
      <c r="BJ91" s="28"/>
      <c r="BK91" s="28"/>
      <c r="BL91" s="28"/>
      <c r="BM91" s="28"/>
      <c r="BN91" s="28"/>
      <c r="BO91" s="28"/>
    </row>
    <row r="92" spans="1:75" x14ac:dyDescent="0.2">
      <c r="A92" s="6"/>
      <c r="B92" s="14"/>
      <c r="C92" s="14" t="s">
        <v>62</v>
      </c>
      <c r="D92" s="7"/>
      <c r="E92" s="7"/>
      <c r="F92" s="7"/>
      <c r="G92" s="7"/>
      <c r="H92" s="7"/>
      <c r="I92" s="7"/>
      <c r="J92" s="7"/>
      <c r="K92" s="7"/>
      <c r="L92" s="7"/>
      <c r="M92" s="7"/>
      <c r="N92" s="7"/>
      <c r="O92" s="7"/>
      <c r="P92" s="7"/>
      <c r="Q92" s="1" t="s">
        <v>63</v>
      </c>
      <c r="R92" s="22"/>
      <c r="S92" s="22"/>
      <c r="T92" s="22"/>
      <c r="U92" s="22"/>
      <c r="V92" s="22"/>
      <c r="W92" s="22"/>
      <c r="X92" s="22"/>
      <c r="Y92" s="24"/>
      <c r="Z92" s="126"/>
      <c r="AA92" s="126"/>
      <c r="AB92" s="126"/>
      <c r="AC92" s="126"/>
      <c r="AD92" s="22" t="s">
        <v>7</v>
      </c>
      <c r="AE92" s="22"/>
      <c r="AF92" s="26" t="s">
        <v>50</v>
      </c>
      <c r="AG92" s="22"/>
      <c r="AH92" s="132" t="str">
        <f xml:space="preserve">
IF(Standard="","Select flow control standard",
IF(Standard="Pre-developed pasture standard",BE92,
IF(Standard="Peak Control Standard",BF92,
MIN(BE92,BF92))))</f>
        <v>Select flow control standard</v>
      </c>
      <c r="AI92" s="132"/>
      <c r="AJ92" s="132"/>
      <c r="AK92" s="132"/>
      <c r="AL92" s="132"/>
      <c r="AM92" s="132"/>
      <c r="AN92" s="132"/>
      <c r="AO92" s="132"/>
      <c r="AP92" s="132"/>
      <c r="AQ92" s="132"/>
      <c r="AR92" s="132"/>
      <c r="AS92" s="22"/>
      <c r="AT92" s="26" t="str">
        <f>"="</f>
        <v>=</v>
      </c>
      <c r="AU92" s="22"/>
      <c r="AV92" s="131" t="str">
        <f>IFERROR(IF(Z92="","",Z92*AH92),"")</f>
        <v/>
      </c>
      <c r="AW92" s="131"/>
      <c r="AX92" s="131"/>
      <c r="AY92" s="131"/>
      <c r="AZ92" s="131"/>
      <c r="BA92" s="22" t="s">
        <v>7</v>
      </c>
      <c r="BB92" s="8"/>
      <c r="BD92" s="28"/>
      <c r="BE92" s="28">
        <f>INDEX('Sizing Factors'!$H:$H,MATCH($BD$90&amp;$BE$90,'Sizing Factors'!$K:$K,0))</f>
        <v>0.21</v>
      </c>
      <c r="BF92" s="28">
        <f>INDEX('Sizing Factors'!$H:$H,MATCH($BD$90&amp;$BF$90,'Sizing Factors'!$K:$K,0))</f>
        <v>0.86</v>
      </c>
      <c r="BG92" s="28"/>
      <c r="BH92" s="28"/>
      <c r="BI92" s="28"/>
      <c r="BJ92" s="28"/>
      <c r="BK92" s="28"/>
      <c r="BL92" s="28"/>
      <c r="BM92" s="28"/>
      <c r="BN92" s="28"/>
      <c r="BO92" s="28"/>
    </row>
    <row r="93" spans="1:75" ht="3.75" customHeight="1" x14ac:dyDescent="0.2">
      <c r="A93" s="6"/>
      <c r="B93" s="14"/>
      <c r="C93" s="14"/>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8"/>
      <c r="BD93" s="28"/>
      <c r="BE93" s="28"/>
      <c r="BF93" s="28"/>
      <c r="BG93" s="28"/>
      <c r="BH93" s="28"/>
      <c r="BI93" s="28"/>
      <c r="BJ93" s="28"/>
      <c r="BK93" s="28"/>
      <c r="BL93" s="28"/>
      <c r="BM93" s="28"/>
      <c r="BN93" s="28"/>
      <c r="BO93" s="28"/>
    </row>
    <row r="94" spans="1:75" s="58" customFormat="1" x14ac:dyDescent="0.2">
      <c r="A94" s="107" t="s">
        <v>32</v>
      </c>
      <c r="B94" s="108"/>
      <c r="C94" s="108"/>
      <c r="D94" s="108"/>
      <c r="E94" s="108"/>
      <c r="F94" s="108"/>
      <c r="G94" s="108"/>
      <c r="H94" s="108"/>
      <c r="I94" s="108"/>
      <c r="J94" s="108"/>
      <c r="K94" s="108"/>
      <c r="L94" s="108"/>
      <c r="M94" s="108"/>
      <c r="N94" s="108"/>
      <c r="O94" s="108"/>
      <c r="P94" s="108"/>
      <c r="Q94" s="119" t="s">
        <v>15</v>
      </c>
      <c r="R94" s="119"/>
      <c r="S94" s="119"/>
      <c r="T94" s="119"/>
      <c r="U94" s="119"/>
      <c r="V94" s="119"/>
      <c r="W94" s="119"/>
      <c r="X94" s="119"/>
      <c r="Y94" s="119"/>
      <c r="Z94" s="119"/>
      <c r="AA94" s="119"/>
      <c r="AB94" s="119"/>
      <c r="AC94" s="119"/>
      <c r="AD94" s="119"/>
      <c r="AE94" s="108"/>
      <c r="AF94" s="108"/>
      <c r="AG94" s="108"/>
      <c r="AH94" s="119" t="s">
        <v>146</v>
      </c>
      <c r="AI94" s="119"/>
      <c r="AJ94" s="119"/>
      <c r="AK94" s="119"/>
      <c r="AL94" s="119"/>
      <c r="AM94" s="119"/>
      <c r="AN94" s="119"/>
      <c r="AO94" s="119"/>
      <c r="AP94" s="119"/>
      <c r="AQ94" s="119"/>
      <c r="AR94" s="119"/>
      <c r="AS94" s="108"/>
      <c r="AT94" s="108"/>
      <c r="AU94" s="108"/>
      <c r="AV94" s="119" t="s">
        <v>17</v>
      </c>
      <c r="AW94" s="119"/>
      <c r="AX94" s="119"/>
      <c r="AY94" s="119"/>
      <c r="AZ94" s="119"/>
      <c r="BA94" s="119"/>
      <c r="BB94" s="109"/>
      <c r="BD94" s="90"/>
      <c r="BE94" s="90"/>
      <c r="BF94" s="90"/>
      <c r="BG94" s="90"/>
      <c r="BH94" s="90"/>
      <c r="BI94" s="90"/>
      <c r="BJ94" s="90"/>
      <c r="BK94" s="90"/>
      <c r="BL94" s="90"/>
      <c r="BM94" s="90"/>
      <c r="BN94" s="90"/>
      <c r="BO94" s="90"/>
    </row>
    <row r="95" spans="1:75" ht="3.75" customHeight="1" x14ac:dyDescent="0.2">
      <c r="A95" s="6"/>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8"/>
      <c r="BD95" s="28"/>
      <c r="BE95" s="28"/>
      <c r="BF95" s="28"/>
      <c r="BG95" s="28"/>
      <c r="BH95" s="28"/>
      <c r="BI95" s="28"/>
      <c r="BJ95" s="28"/>
      <c r="BK95" s="28"/>
      <c r="BL95" s="28"/>
      <c r="BM95" s="28"/>
      <c r="BN95" s="28"/>
      <c r="BO95" s="28"/>
    </row>
    <row r="96" spans="1:75" ht="12" customHeight="1" x14ac:dyDescent="0.2">
      <c r="A96" s="6"/>
      <c r="B96" s="13" t="s">
        <v>33</v>
      </c>
      <c r="C96" s="14"/>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117" t="str">
        <f>IF(Standard="","Select flow control standard",IF(K100="","Enter contributing area",IF(K102="","Select ponding depth",IF(K104="","Select sideslopes",
IF(Standard="Pre-developed pasture standard",IFERROR(BG102,BI102),
IF(Standard="Peak Control Standard",IFERROR(BG104,BI104),
IFERROR(IF(BH102&lt;BH104,BG102,BG104),BI102)))))))</f>
        <v>Select flow control standard</v>
      </c>
      <c r="AI96" s="117"/>
      <c r="AJ96" s="117"/>
      <c r="AK96" s="117"/>
      <c r="AL96" s="117"/>
      <c r="AM96" s="117"/>
      <c r="AN96" s="117"/>
      <c r="AO96" s="117"/>
      <c r="AP96" s="117"/>
      <c r="AQ96" s="117"/>
      <c r="AR96" s="117"/>
      <c r="AS96" s="7"/>
      <c r="AT96" s="7"/>
      <c r="AU96" s="7"/>
      <c r="AV96" s="7"/>
      <c r="AW96" s="7"/>
      <c r="AX96" s="7"/>
      <c r="AY96" s="7"/>
      <c r="AZ96" s="7"/>
      <c r="BA96" s="7"/>
      <c r="BB96" s="8"/>
      <c r="BD96" s="28"/>
      <c r="BE96" s="28"/>
      <c r="BF96" s="28"/>
      <c r="BG96" s="28"/>
      <c r="BH96" s="28"/>
      <c r="BI96" s="28"/>
      <c r="BJ96" s="28"/>
      <c r="BK96" s="28"/>
      <c r="BL96" s="28"/>
      <c r="BM96" s="28"/>
      <c r="BN96" s="28"/>
      <c r="BO96" s="28"/>
      <c r="BP96" s="28"/>
      <c r="BQ96" s="28"/>
      <c r="BR96" s="28"/>
      <c r="BS96" s="28"/>
      <c r="BT96" s="28"/>
      <c r="BU96" s="28"/>
      <c r="BV96" s="28"/>
      <c r="BW96" s="28"/>
    </row>
    <row r="97" spans="1:83" ht="3.75" customHeight="1" x14ac:dyDescent="0.2">
      <c r="A97" s="6"/>
      <c r="B97" s="14"/>
      <c r="C97" s="14"/>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117"/>
      <c r="AI97" s="117"/>
      <c r="AJ97" s="117"/>
      <c r="AK97" s="117"/>
      <c r="AL97" s="117"/>
      <c r="AM97" s="117"/>
      <c r="AN97" s="117"/>
      <c r="AO97" s="117"/>
      <c r="AP97" s="117"/>
      <c r="AQ97" s="117"/>
      <c r="AR97" s="117"/>
      <c r="AS97" s="7"/>
      <c r="AT97" s="7"/>
      <c r="AU97" s="7"/>
      <c r="AV97" s="7"/>
      <c r="AW97" s="7"/>
      <c r="AX97" s="7"/>
      <c r="AY97" s="7"/>
      <c r="AZ97" s="7"/>
      <c r="BA97" s="7"/>
      <c r="BB97" s="8"/>
      <c r="BD97" s="28"/>
      <c r="BE97" s="28"/>
      <c r="BF97" s="28"/>
      <c r="BG97" s="28"/>
      <c r="BH97" s="28"/>
      <c r="BI97" s="28"/>
      <c r="BJ97" s="28"/>
      <c r="BK97" s="28"/>
      <c r="BL97" s="28"/>
      <c r="BM97" s="28"/>
      <c r="BN97" s="28"/>
      <c r="BO97" s="28"/>
    </row>
    <row r="98" spans="1:83" s="28" customFormat="1" ht="12" customHeight="1" x14ac:dyDescent="0.2">
      <c r="A98" s="6"/>
      <c r="B98" s="14"/>
      <c r="C98" s="14" t="s">
        <v>145</v>
      </c>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117"/>
      <c r="AI98" s="117"/>
      <c r="AJ98" s="117"/>
      <c r="AK98" s="117"/>
      <c r="AL98" s="117"/>
      <c r="AM98" s="117"/>
      <c r="AN98" s="117"/>
      <c r="AO98" s="117"/>
      <c r="AP98" s="117"/>
      <c r="AQ98" s="117"/>
      <c r="AR98" s="117"/>
      <c r="AS98" s="7"/>
      <c r="AT98" s="7"/>
      <c r="AU98" s="7"/>
      <c r="AV98" s="7"/>
      <c r="AW98" s="7"/>
      <c r="AX98" s="7"/>
      <c r="AY98" s="7"/>
      <c r="AZ98" s="7"/>
      <c r="BA98" s="7"/>
      <c r="BB98" s="8"/>
      <c r="BD98" s="58" t="str">
        <f>C98</f>
        <v>Bioretention with Underdrain</v>
      </c>
    </row>
    <row r="99" spans="1:83" ht="3.75" customHeight="1" x14ac:dyDescent="0.2">
      <c r="A99" s="6"/>
      <c r="B99" s="14"/>
      <c r="C99" s="14"/>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117"/>
      <c r="AI99" s="117"/>
      <c r="AJ99" s="117"/>
      <c r="AK99" s="117"/>
      <c r="AL99" s="117"/>
      <c r="AM99" s="117"/>
      <c r="AN99" s="117"/>
      <c r="AO99" s="117"/>
      <c r="AP99" s="117"/>
      <c r="AQ99" s="117"/>
      <c r="AR99" s="117"/>
      <c r="AS99" s="7"/>
      <c r="AT99" s="7"/>
      <c r="AU99" s="7"/>
      <c r="AV99" s="7"/>
      <c r="AW99" s="7"/>
      <c r="AX99" s="7"/>
      <c r="AY99" s="7"/>
      <c r="AZ99" s="7"/>
      <c r="BA99" s="7"/>
      <c r="BB99" s="8"/>
      <c r="BD99" s="28"/>
      <c r="BE99" s="28"/>
      <c r="BF99" s="28"/>
      <c r="BG99" s="28"/>
      <c r="BH99" s="28"/>
      <c r="BI99" s="28"/>
      <c r="BJ99" s="28"/>
      <c r="BK99" s="28"/>
      <c r="BL99" s="28"/>
      <c r="BM99" s="28"/>
      <c r="BN99" s="28"/>
      <c r="BO99" s="28"/>
      <c r="BP99" s="28"/>
      <c r="BQ99" s="28"/>
      <c r="BR99" s="28"/>
      <c r="BS99" s="28"/>
      <c r="BT99" s="28"/>
      <c r="BU99" s="28"/>
      <c r="BV99" s="28"/>
      <c r="BW99" s="28"/>
      <c r="BX99" s="28"/>
      <c r="BY99" s="28"/>
      <c r="BZ99" s="28"/>
      <c r="CA99" s="28"/>
      <c r="CB99" s="28"/>
      <c r="CC99" s="28"/>
      <c r="CD99" s="28"/>
      <c r="CE99" s="28"/>
    </row>
    <row r="100" spans="1:83" s="28" customFormat="1" ht="11.25" x14ac:dyDescent="0.2">
      <c r="A100" s="21"/>
      <c r="B100" s="23"/>
      <c r="C100" s="23"/>
      <c r="D100" s="22" t="s">
        <v>23</v>
      </c>
      <c r="E100" s="22"/>
      <c r="F100" s="22"/>
      <c r="G100" s="22"/>
      <c r="H100" s="22"/>
      <c r="I100" s="22"/>
      <c r="J100" s="22"/>
      <c r="K100" s="126"/>
      <c r="L100" s="126"/>
      <c r="M100" s="126"/>
      <c r="N100" s="126"/>
      <c r="O100" s="22" t="s">
        <v>7</v>
      </c>
      <c r="P100" s="22"/>
      <c r="Q100" s="1" t="s">
        <v>51</v>
      </c>
      <c r="R100" s="22"/>
      <c r="S100" s="22"/>
      <c r="T100" s="22"/>
      <c r="U100" s="22"/>
      <c r="V100" s="22"/>
      <c r="W100" s="22"/>
      <c r="X100" s="22"/>
      <c r="Y100" s="24"/>
      <c r="Z100" s="126"/>
      <c r="AA100" s="126"/>
      <c r="AB100" s="126"/>
      <c r="AC100" s="126"/>
      <c r="AD100" s="22" t="s">
        <v>7</v>
      </c>
      <c r="AE100" s="22"/>
      <c r="AF100" s="26" t="str">
        <f>IFERROR(IF(OR(AH96=BG102,AH96=BG104),"÷",":"),":")</f>
        <v>:</v>
      </c>
      <c r="AG100" s="22"/>
      <c r="AH100" s="118"/>
      <c r="AI100" s="118"/>
      <c r="AJ100" s="118"/>
      <c r="AK100" s="118"/>
      <c r="AL100" s="118"/>
      <c r="AM100" s="118"/>
      <c r="AN100" s="118"/>
      <c r="AO100" s="118"/>
      <c r="AP100" s="118"/>
      <c r="AQ100" s="118"/>
      <c r="AR100" s="118"/>
      <c r="AS100" s="22"/>
      <c r="AT100" s="26" t="str">
        <f>"="</f>
        <v>=</v>
      </c>
      <c r="AU100" s="22"/>
      <c r="AV100" s="131" t="str">
        <f>IF(K100="","",IFERROR(IF(Standard="Pre-Developed Pasture Standard",MIN(K100,BH102),IF(Standard="Peak Control Standard",MIN(K100,BH104),IF(Standard="Pre-Developed Pasture and Peak Control Standards",MIN(K100,BH102,BH104),""))),""))</f>
        <v/>
      </c>
      <c r="AW100" s="131"/>
      <c r="AX100" s="131"/>
      <c r="AY100" s="131"/>
      <c r="AZ100" s="131"/>
      <c r="BA100" s="22" t="s">
        <v>7</v>
      </c>
      <c r="BB100" s="27"/>
      <c r="BD100" s="28" t="s">
        <v>90</v>
      </c>
      <c r="BE100" s="59" t="s">
        <v>84</v>
      </c>
      <c r="BF100" s="59" t="s">
        <v>85</v>
      </c>
      <c r="BG100" s="59" t="s">
        <v>89</v>
      </c>
      <c r="BH100" s="59" t="s">
        <v>17</v>
      </c>
      <c r="BI100" s="59" t="s">
        <v>92</v>
      </c>
    </row>
    <row r="101" spans="1:83" ht="3.75" customHeight="1" x14ac:dyDescent="0.2">
      <c r="A101" s="6"/>
      <c r="B101" s="14"/>
      <c r="C101" s="14"/>
      <c r="D101" s="7"/>
      <c r="E101" s="7"/>
      <c r="F101" s="7"/>
      <c r="G101" s="7"/>
      <c r="H101" s="7"/>
      <c r="I101" s="7"/>
      <c r="J101" s="7"/>
      <c r="K101" s="7"/>
      <c r="L101" s="7"/>
      <c r="M101" s="7"/>
      <c r="N101" s="7"/>
      <c r="O101" s="7"/>
      <c r="P101" s="7"/>
      <c r="Q101" s="9"/>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8"/>
      <c r="BD101" s="28"/>
      <c r="BE101" s="28"/>
      <c r="BF101" s="28"/>
      <c r="BG101" s="28"/>
      <c r="BH101" s="28"/>
      <c r="BI101" s="28"/>
      <c r="BJ101" s="28"/>
      <c r="BK101" s="28"/>
      <c r="BL101" s="28"/>
      <c r="BM101" s="28"/>
      <c r="BN101" s="28"/>
      <c r="BO101" s="28"/>
    </row>
    <row r="102" spans="1:83" ht="12" customHeight="1" x14ac:dyDescent="0.2">
      <c r="A102" s="21"/>
      <c r="B102" s="23"/>
      <c r="C102" s="23"/>
      <c r="D102" s="22" t="s">
        <v>24</v>
      </c>
      <c r="E102" s="22"/>
      <c r="F102" s="22"/>
      <c r="G102" s="22"/>
      <c r="H102" s="22"/>
      <c r="I102" s="22"/>
      <c r="J102" s="22"/>
      <c r="K102" s="144"/>
      <c r="L102" s="144"/>
      <c r="M102" s="144"/>
      <c r="N102" s="144"/>
      <c r="O102" s="22" t="s">
        <v>52</v>
      </c>
      <c r="P102" s="22"/>
      <c r="Q102" s="120" t="str">
        <f>IFERROR(IF(OR(K100="",K102="",K104=""),"",IFERROR(IF(AND(K102=12,BE104&lt;&gt;"NA", Standard="Peak Control Standard"),BI104,""),"")
&amp;IF(Standard="Peak Control Standard",
IF(Z100&gt;ROUNDUP(K100*BE104+BF104,0)," The bioretention facility can be reduced to "&amp;TEXT(ROUNDUP(K100*BE104+BF104,0),"#,##0")&amp;" sf",
IF(Z100&lt;ROUNDUP(K100*BE104+BF104,0)," The bioretention facility to fully manage area is "&amp;TEXT(ROUNDUP(K100*BE104+BF104,0),"#,##0")&amp;" sf","")),"")),"")</f>
        <v/>
      </c>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27"/>
      <c r="BD102" s="28" t="s">
        <v>9</v>
      </c>
      <c r="BE102" s="59" t="e">
        <f>INDEX('Sizing Factors'!$H:$H,MATCH(C98&amp;K104&amp;K102&amp;IF(K100&lt;=2000,"02000",IF(K100&lt;=10000,"200010000","x"))&amp;$BD$102,'Sizing Factors'!$K:$K,0))</f>
        <v>#N/A</v>
      </c>
      <c r="BF102" s="59" t="e">
        <f>INDEX('Sizing Factors'!$I:$I,MATCH(C98&amp;K104&amp;K102&amp;IF(K100&lt;=2000,"02000",IF(K100&lt;=10000,"200010000","x"))&amp;$BD$102,'Sizing Factors'!$K:$K,0))</f>
        <v>#N/A</v>
      </c>
      <c r="BG102" s="59" t="e">
        <f>IF(BF102=0,BE102*100&amp;"%",BF102&amp;" ] ÷ "&amp;BE102)</f>
        <v>#N/A</v>
      </c>
      <c r="BH102" s="60" t="e">
        <f>($Z$100-$BF$102)/$BE$102</f>
        <v>#N/A</v>
      </c>
      <c r="BI102" s="68" t="e">
        <f>IF(K100&gt;10000,"Not applicable for contributing area &gt; 10,000 sf",INDEX('Sizing Factors'!$J:$J,MATCH(C98&amp;K104&amp;K102&amp;IF(K100&lt;=2000,"02000",IF(K100&lt;=10000,"200010000","x"))&amp;$BD$102,'Sizing Factors'!$K:$K,0)))</f>
        <v>#N/A</v>
      </c>
      <c r="BJ102" s="28"/>
      <c r="BK102" s="28"/>
      <c r="BL102" s="28"/>
      <c r="BM102" s="28"/>
      <c r="BN102" s="28"/>
      <c r="BO102" s="28"/>
    </row>
    <row r="103" spans="1:83" ht="3.75" customHeight="1" x14ac:dyDescent="0.2">
      <c r="A103" s="6"/>
      <c r="B103" s="14"/>
      <c r="C103" s="14"/>
      <c r="D103" s="7"/>
      <c r="E103" s="7"/>
      <c r="F103" s="7"/>
      <c r="G103" s="7"/>
      <c r="H103" s="7"/>
      <c r="I103" s="7"/>
      <c r="J103" s="7"/>
      <c r="K103" s="7"/>
      <c r="L103" s="7"/>
      <c r="M103" s="7"/>
      <c r="N103" s="7"/>
      <c r="O103" s="7"/>
      <c r="P103" s="7"/>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8"/>
      <c r="BD103" s="28"/>
      <c r="BE103" s="59"/>
      <c r="BF103" s="59"/>
      <c r="BG103" s="59"/>
      <c r="BH103" s="59"/>
      <c r="BI103" s="59"/>
      <c r="BJ103" s="28"/>
      <c r="BK103" s="28"/>
      <c r="BL103" s="28"/>
      <c r="BM103" s="28"/>
      <c r="BN103" s="28"/>
      <c r="BO103" s="28"/>
    </row>
    <row r="104" spans="1:83" x14ac:dyDescent="0.2">
      <c r="A104" s="21"/>
      <c r="B104" s="23"/>
      <c r="C104" s="23"/>
      <c r="D104" s="22" t="s">
        <v>64</v>
      </c>
      <c r="E104" s="22"/>
      <c r="F104" s="22"/>
      <c r="G104" s="22"/>
      <c r="H104" s="22"/>
      <c r="I104" s="22"/>
      <c r="J104" s="22"/>
      <c r="K104" s="144"/>
      <c r="L104" s="144"/>
      <c r="M104" s="144"/>
      <c r="N104" s="144"/>
      <c r="O104" s="22"/>
      <c r="P104" s="22"/>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27"/>
      <c r="BD104" s="28" t="s">
        <v>82</v>
      </c>
      <c r="BE104" s="59" t="e">
        <f>INDEX('Sizing Factors'!$H:$H,MATCH(C98&amp;K104&amp;K102&amp;IF(K100&lt;=2000,"02000",IF(K100&lt;=10000,"200010000","x"))&amp;$BD$104,'Sizing Factors'!$K:$K,0))</f>
        <v>#N/A</v>
      </c>
      <c r="BF104" s="59" t="e">
        <f>INDEX('Sizing Factors'!$I:$I,MATCH(C98&amp;K104&amp;K102&amp;IF(K100&lt;=2000,"02000",IF(K100&lt;=10000,"200010000","x"))&amp;$BD$104,'Sizing Factors'!$K:$K,0))</f>
        <v>#N/A</v>
      </c>
      <c r="BG104" s="59" t="e">
        <f>IF(BF104=0,BE104*100&amp;"%",BF104&amp;" ] ÷ "&amp;BE104)</f>
        <v>#N/A</v>
      </c>
      <c r="BH104" s="60" t="e">
        <f>($Z$100-$BF$104)/$BE$104</f>
        <v>#N/A</v>
      </c>
      <c r="BI104" s="68" t="e">
        <f>IF(K100&gt;10000,"Not applicable for contributing area &gt; 10,000 sf",INDEX('Sizing Factors'!$J:$J,MATCH(C98&amp;K104&amp;K102&amp;IF(K100&lt;=2000,"02000",IF(K100&lt;=10000,"200010000","x"))&amp;$BD$104,'Sizing Factors'!$K:$K,0)))</f>
        <v>#N/A</v>
      </c>
      <c r="BJ104" s="28"/>
      <c r="BK104" s="28"/>
      <c r="BL104" s="28"/>
      <c r="BM104" s="28"/>
      <c r="BN104" s="28"/>
      <c r="BO104" s="28"/>
    </row>
    <row r="105" spans="1:83" ht="7.5" customHeight="1" x14ac:dyDescent="0.2">
      <c r="A105" s="10"/>
      <c r="B105" s="18"/>
      <c r="C105" s="18"/>
      <c r="D105" s="11"/>
      <c r="E105" s="11"/>
      <c r="F105" s="11"/>
      <c r="G105" s="11"/>
      <c r="H105" s="11"/>
      <c r="I105" s="11"/>
      <c r="J105" s="11"/>
      <c r="K105" s="11"/>
      <c r="L105" s="11"/>
      <c r="M105" s="11"/>
      <c r="N105" s="11"/>
      <c r="O105" s="11"/>
      <c r="P105" s="1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c r="AP105" s="121"/>
      <c r="AQ105" s="121"/>
      <c r="AR105" s="121"/>
      <c r="AS105" s="121"/>
      <c r="AT105" s="121"/>
      <c r="AU105" s="121"/>
      <c r="AV105" s="121"/>
      <c r="AW105" s="121"/>
      <c r="AX105" s="121"/>
      <c r="AY105" s="121"/>
      <c r="AZ105" s="121"/>
      <c r="BA105" s="121"/>
      <c r="BB105" s="12"/>
      <c r="BD105" s="28"/>
      <c r="BE105" s="28"/>
      <c r="BF105" s="28"/>
      <c r="BG105" s="28"/>
      <c r="BH105" s="28"/>
      <c r="BI105" s="28"/>
      <c r="BJ105" s="28"/>
      <c r="BK105" s="28"/>
      <c r="BL105" s="28"/>
      <c r="BM105" s="28"/>
      <c r="BN105" s="28"/>
      <c r="BO105" s="28"/>
    </row>
    <row r="106" spans="1:83" ht="3.75" customHeight="1" x14ac:dyDescent="0.2">
      <c r="A106" s="6"/>
      <c r="B106" s="14"/>
      <c r="C106" s="14"/>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8"/>
      <c r="BD106" s="28"/>
      <c r="BE106" s="28"/>
      <c r="BF106" s="28"/>
      <c r="BG106" s="28"/>
      <c r="BH106" s="28"/>
      <c r="BI106" s="28"/>
      <c r="BJ106" s="28"/>
      <c r="BK106" s="28"/>
      <c r="BL106" s="28"/>
      <c r="BM106" s="28"/>
      <c r="BN106" s="28"/>
      <c r="BO106" s="28"/>
    </row>
    <row r="107" spans="1:83" x14ac:dyDescent="0.2">
      <c r="A107" s="6"/>
      <c r="B107" s="14"/>
      <c r="C107" s="14"/>
      <c r="D107" s="7"/>
      <c r="E107" s="7"/>
      <c r="F107" s="7"/>
      <c r="G107" s="7"/>
      <c r="H107" s="7"/>
      <c r="I107" s="7"/>
      <c r="J107" s="7"/>
      <c r="K107" s="7"/>
      <c r="L107" s="7"/>
      <c r="M107" s="7"/>
      <c r="N107" s="7"/>
      <c r="O107" s="7"/>
      <c r="P107" s="7"/>
      <c r="Q107" s="7"/>
      <c r="R107" s="7"/>
      <c r="S107" s="7"/>
      <c r="T107" s="7"/>
      <c r="U107" s="7"/>
      <c r="V107" s="7"/>
      <c r="W107" s="7"/>
      <c r="X107" s="7"/>
      <c r="Y107" s="7"/>
      <c r="Z107" s="14"/>
      <c r="AA107" s="14"/>
      <c r="AB107" s="7"/>
      <c r="AC107" s="7"/>
      <c r="AD107" s="15"/>
      <c r="AE107" s="14"/>
      <c r="AF107" s="7"/>
      <c r="AG107" s="15"/>
      <c r="AH107" s="15"/>
      <c r="AI107" s="7"/>
      <c r="AJ107" s="7"/>
      <c r="AK107" s="7"/>
      <c r="AL107" s="7"/>
      <c r="AM107" s="7"/>
      <c r="AN107" s="7"/>
      <c r="AO107" s="7"/>
      <c r="AP107" s="7"/>
      <c r="AQ107" s="7"/>
      <c r="AR107" s="7"/>
      <c r="AS107" s="7"/>
      <c r="AT107" s="92" t="s">
        <v>137</v>
      </c>
      <c r="AU107" s="138">
        <f>IFERROR(SUM(AV28,AV36,AV32,AV44,AV54,AV62,AV70,AV74,AV78,AV86,AV88,AV92,AV100),"")</f>
        <v>0</v>
      </c>
      <c r="AV107" s="138"/>
      <c r="AW107" s="138"/>
      <c r="AX107" s="138"/>
      <c r="AY107" s="138"/>
      <c r="AZ107" s="138"/>
      <c r="BA107" s="19" t="s">
        <v>7</v>
      </c>
      <c r="BB107" s="8"/>
      <c r="BD107" s="28"/>
      <c r="BE107" s="28"/>
      <c r="BF107" s="28"/>
      <c r="BG107" s="28"/>
      <c r="BH107" s="28"/>
      <c r="BI107" s="28"/>
      <c r="BJ107" s="28"/>
      <c r="BK107" s="28"/>
      <c r="BL107" s="28"/>
      <c r="BM107" s="28"/>
      <c r="BN107" s="28"/>
      <c r="BO107" s="28"/>
    </row>
    <row r="108" spans="1:83" ht="3.75" customHeight="1" x14ac:dyDescent="0.2">
      <c r="A108" s="10"/>
      <c r="B108" s="18"/>
      <c r="C108" s="18"/>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2"/>
      <c r="BD108" s="28"/>
      <c r="BE108" s="28"/>
      <c r="BF108" s="28"/>
      <c r="BG108" s="28"/>
      <c r="BH108" s="28"/>
      <c r="BI108" s="28"/>
      <c r="BJ108" s="28"/>
      <c r="BK108" s="28"/>
      <c r="BL108" s="28"/>
      <c r="BM108" s="28"/>
      <c r="BN108" s="28"/>
      <c r="BO108" s="28"/>
    </row>
    <row r="109" spans="1:83" s="58" customFormat="1" x14ac:dyDescent="0.2">
      <c r="A109" s="104" t="s">
        <v>34</v>
      </c>
      <c r="B109" s="105"/>
      <c r="C109" s="105"/>
      <c r="D109" s="105"/>
      <c r="E109" s="105"/>
      <c r="F109" s="105"/>
      <c r="G109" s="105"/>
      <c r="H109" s="105"/>
      <c r="I109" s="105"/>
      <c r="J109" s="105"/>
      <c r="K109" s="105"/>
      <c r="L109" s="105"/>
      <c r="M109" s="105"/>
      <c r="N109" s="105"/>
      <c r="O109" s="105"/>
      <c r="P109" s="105"/>
      <c r="Q109" s="119" t="s">
        <v>15</v>
      </c>
      <c r="R109" s="119"/>
      <c r="S109" s="119"/>
      <c r="T109" s="119"/>
      <c r="U109" s="119"/>
      <c r="V109" s="119"/>
      <c r="W109" s="119"/>
      <c r="X109" s="119"/>
      <c r="Y109" s="119"/>
      <c r="Z109" s="119"/>
      <c r="AA109" s="119"/>
      <c r="AB109" s="119"/>
      <c r="AC109" s="119"/>
      <c r="AD109" s="119"/>
      <c r="AE109" s="105"/>
      <c r="AF109" s="105"/>
      <c r="AG109" s="105"/>
      <c r="AH109" s="119" t="s">
        <v>22</v>
      </c>
      <c r="AI109" s="119"/>
      <c r="AJ109" s="119"/>
      <c r="AK109" s="119"/>
      <c r="AL109" s="119"/>
      <c r="AM109" s="119"/>
      <c r="AN109" s="119"/>
      <c r="AO109" s="119"/>
      <c r="AP109" s="119"/>
      <c r="AQ109" s="119"/>
      <c r="AR109" s="119"/>
      <c r="AS109" s="105"/>
      <c r="AT109" s="105"/>
      <c r="AU109" s="105"/>
      <c r="AV109" s="119" t="s">
        <v>17</v>
      </c>
      <c r="AW109" s="119"/>
      <c r="AX109" s="119"/>
      <c r="AY109" s="119"/>
      <c r="AZ109" s="119"/>
      <c r="BA109" s="119"/>
      <c r="BB109" s="106"/>
      <c r="BC109" s="90"/>
      <c r="BD109" s="58" t="str">
        <f>C113</f>
        <v>Infiltration Chamber</v>
      </c>
      <c r="BE109" s="90"/>
      <c r="BF109" s="90"/>
      <c r="BG109" s="90"/>
      <c r="BH109" s="90"/>
      <c r="BI109" s="90"/>
      <c r="BJ109" s="90"/>
      <c r="BK109" s="90"/>
      <c r="BL109" s="90"/>
      <c r="BM109" s="90"/>
      <c r="BN109" s="90"/>
      <c r="BO109" s="90"/>
      <c r="BP109" s="90"/>
      <c r="BQ109" s="90"/>
      <c r="BR109" s="90"/>
      <c r="BS109" s="90"/>
      <c r="BT109" s="90"/>
      <c r="BU109" s="90"/>
      <c r="BV109" s="90"/>
      <c r="BW109" s="90"/>
    </row>
    <row r="110" spans="1:83" ht="3.75" customHeight="1" x14ac:dyDescent="0.2">
      <c r="A110" s="6"/>
      <c r="B110" s="14"/>
      <c r="C110" s="14"/>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8"/>
      <c r="BD110" s="28"/>
      <c r="BE110" s="28"/>
      <c r="BF110" s="28"/>
      <c r="BG110" s="28"/>
      <c r="BH110" s="28"/>
      <c r="BI110" s="28"/>
      <c r="BJ110" s="28"/>
      <c r="BK110" s="28"/>
      <c r="BL110" s="28"/>
      <c r="BM110" s="28"/>
      <c r="BN110" s="28"/>
      <c r="BO110" s="28"/>
    </row>
    <row r="111" spans="1:83" ht="12" customHeight="1" x14ac:dyDescent="0.2">
      <c r="A111" s="6"/>
      <c r="B111" s="13" t="s">
        <v>26</v>
      </c>
      <c r="C111" s="14"/>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I111" s="57"/>
      <c r="AJ111" s="57"/>
      <c r="AK111" s="57"/>
      <c r="AL111" s="57"/>
      <c r="AM111" s="57"/>
      <c r="AN111" s="57"/>
      <c r="AO111" s="57"/>
      <c r="AP111" s="57"/>
      <c r="AQ111" s="57"/>
      <c r="AR111" s="57"/>
      <c r="AS111" s="7"/>
      <c r="AT111" s="7"/>
      <c r="AU111" s="7"/>
      <c r="AV111" s="7"/>
      <c r="AW111" s="7"/>
      <c r="AX111" s="7"/>
      <c r="AY111" s="7"/>
      <c r="AZ111" s="7"/>
      <c r="BA111" s="7"/>
      <c r="BB111" s="8"/>
      <c r="BD111" s="28" t="s">
        <v>90</v>
      </c>
      <c r="BE111" s="59" t="s">
        <v>84</v>
      </c>
      <c r="BF111" s="59" t="s">
        <v>85</v>
      </c>
      <c r="BG111" s="59" t="s">
        <v>89</v>
      </c>
      <c r="BH111" s="59" t="s">
        <v>17</v>
      </c>
      <c r="BI111" s="59" t="s">
        <v>92</v>
      </c>
      <c r="BJ111" s="28"/>
      <c r="BK111" s="28"/>
      <c r="BL111" s="28"/>
      <c r="BM111" s="28"/>
      <c r="BN111" s="28"/>
      <c r="BO111" s="28"/>
      <c r="BX111" s="28"/>
      <c r="BY111" s="28"/>
    </row>
    <row r="112" spans="1:83" ht="3.75" customHeight="1" x14ac:dyDescent="0.2">
      <c r="A112" s="6"/>
      <c r="B112" s="14"/>
      <c r="C112" s="14"/>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57"/>
      <c r="AI112" s="57"/>
      <c r="AJ112" s="57"/>
      <c r="AK112" s="57"/>
      <c r="AL112" s="57"/>
      <c r="AM112" s="57"/>
      <c r="AN112" s="57"/>
      <c r="AO112" s="57"/>
      <c r="AP112" s="57"/>
      <c r="AQ112" s="57"/>
      <c r="AR112" s="57"/>
      <c r="AS112" s="7"/>
      <c r="AT112" s="7"/>
      <c r="AU112" s="7"/>
      <c r="AV112" s="7"/>
      <c r="AW112" s="7"/>
      <c r="AX112" s="7"/>
      <c r="AY112" s="7"/>
      <c r="AZ112" s="7"/>
      <c r="BA112" s="7"/>
      <c r="BB112" s="8"/>
      <c r="BD112" s="28"/>
      <c r="BE112" s="28"/>
      <c r="BF112" s="28"/>
      <c r="BG112" s="28"/>
      <c r="BH112" s="28"/>
      <c r="BI112" s="28"/>
      <c r="BJ112" s="28"/>
      <c r="BK112" s="28"/>
      <c r="BL112" s="28"/>
      <c r="BM112" s="28"/>
      <c r="BN112" s="28"/>
      <c r="BO112" s="28"/>
    </row>
    <row r="113" spans="1:80" s="28" customFormat="1" x14ac:dyDescent="0.2">
      <c r="A113" s="6"/>
      <c r="B113" s="14"/>
      <c r="C113" s="14" t="s">
        <v>35</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117" t="str">
        <f>IF(Standard="","Select flow control standard",IF(K115="","Enter contributing area",IF(K117="","Select infiltration rate",
IF(Standard="Pre-developed pasture standard",IFERROR(BG113,BI113),
IF(Standard="Peak Control Standard",IFERROR(BG115,BI115),
IFERROR(IF(BH113&lt;BH115,BG113,BG115),BI113))))))</f>
        <v>Select flow control standard</v>
      </c>
      <c r="AI113" s="117"/>
      <c r="AJ113" s="117"/>
      <c r="AK113" s="117"/>
      <c r="AL113" s="117"/>
      <c r="AM113" s="117"/>
      <c r="AN113" s="117"/>
      <c r="AO113" s="117"/>
      <c r="AP113" s="117"/>
      <c r="AQ113" s="117"/>
      <c r="AR113" s="117"/>
      <c r="AS113" s="7"/>
      <c r="AT113" s="7"/>
      <c r="AU113" s="7"/>
      <c r="AV113" s="7"/>
      <c r="AW113" s="7"/>
      <c r="AX113" s="7"/>
      <c r="AY113" s="7"/>
      <c r="AZ113" s="7"/>
      <c r="BA113" s="7"/>
      <c r="BB113" s="8"/>
      <c r="BC113" s="2"/>
      <c r="BD113" s="28" t="s">
        <v>9</v>
      </c>
      <c r="BE113" s="59" t="e">
        <f>INDEX('Sizing Factors'!$H:$H,MATCH(C113&amp;K117&amp;IF(K115&lt;=2000,"02000",IF(K115&lt;=10000,"200010000","x"))&amp;BD$113,'Sizing Factors'!$K:$K,0))</f>
        <v>#N/A</v>
      </c>
      <c r="BF113" s="59" t="e">
        <f>INDEX('Sizing Factors'!$I:$I,MATCH(C113&amp;K117&amp;IF(K115&lt;=2000,"02000",IF(K115&lt;=10000,"200010000","x"))&amp;BD113,'Sizing Factors'!$K:$K,0))</f>
        <v>#N/A</v>
      </c>
      <c r="BG113" s="59" t="e">
        <f>IF(BF113=0,BE113*100&amp;"%",BF113&amp;" ] ÷ "&amp;BE113)</f>
        <v>#N/A</v>
      </c>
      <c r="BH113" s="60" t="e">
        <f>MAX(($Z$115-$BF$113)/$BE$113,0)</f>
        <v>#N/A</v>
      </c>
      <c r="BI113" s="68" t="str">
        <f>IF(K115&gt;10000,"Not applicable for contributing area &gt; 10,000 sf","")</f>
        <v/>
      </c>
      <c r="BP113" s="2"/>
      <c r="BQ113" s="2"/>
      <c r="BR113" s="2"/>
      <c r="BS113" s="2"/>
      <c r="BT113" s="2"/>
      <c r="BU113" s="2"/>
      <c r="BV113" s="2"/>
      <c r="BW113" s="2"/>
      <c r="BX113" s="2"/>
      <c r="BY113" s="2"/>
    </row>
    <row r="114" spans="1:80" ht="3.75" customHeight="1" x14ac:dyDescent="0.2">
      <c r="A114" s="6"/>
      <c r="B114" s="14"/>
      <c r="C114" s="14"/>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117"/>
      <c r="AI114" s="117"/>
      <c r="AJ114" s="117"/>
      <c r="AK114" s="117"/>
      <c r="AL114" s="117"/>
      <c r="AM114" s="117"/>
      <c r="AN114" s="117"/>
      <c r="AO114" s="117"/>
      <c r="AP114" s="117"/>
      <c r="AQ114" s="117"/>
      <c r="AR114" s="117"/>
      <c r="AS114" s="7"/>
      <c r="AT114" s="7"/>
      <c r="AU114" s="7"/>
      <c r="AV114" s="7"/>
      <c r="AW114" s="7"/>
      <c r="AX114" s="7"/>
      <c r="AY114" s="7"/>
      <c r="AZ114" s="7"/>
      <c r="BA114" s="7"/>
      <c r="BB114" s="8"/>
      <c r="BD114" s="28"/>
      <c r="BE114" s="59"/>
      <c r="BF114" s="59"/>
      <c r="BG114" s="59"/>
      <c r="BH114" s="59"/>
      <c r="BI114" s="59"/>
      <c r="BJ114" s="28"/>
      <c r="BK114" s="28"/>
      <c r="BL114" s="28"/>
      <c r="BM114" s="28"/>
      <c r="BN114" s="28"/>
      <c r="BO114" s="28"/>
    </row>
    <row r="115" spans="1:80" x14ac:dyDescent="0.2">
      <c r="A115" s="21"/>
      <c r="B115" s="23"/>
      <c r="C115" s="23"/>
      <c r="D115" s="22" t="s">
        <v>23</v>
      </c>
      <c r="E115" s="22"/>
      <c r="F115" s="22"/>
      <c r="G115" s="22"/>
      <c r="H115" s="22"/>
      <c r="I115" s="22"/>
      <c r="J115" s="22"/>
      <c r="K115" s="126"/>
      <c r="L115" s="126"/>
      <c r="M115" s="126"/>
      <c r="N115" s="126"/>
      <c r="O115" s="22" t="s">
        <v>7</v>
      </c>
      <c r="P115" s="22"/>
      <c r="Q115" s="1" t="s">
        <v>67</v>
      </c>
      <c r="R115" s="22"/>
      <c r="S115" s="22"/>
      <c r="T115" s="22"/>
      <c r="U115" s="22"/>
      <c r="V115" s="22"/>
      <c r="W115" s="22"/>
      <c r="X115" s="22"/>
      <c r="Y115" s="24" t="str">
        <f>IFERROR(IF(AND(AH113=BG113,BF113&gt;0),"[ ",""),"")</f>
        <v/>
      </c>
      <c r="Z115" s="126"/>
      <c r="AA115" s="126"/>
      <c r="AB115" s="126"/>
      <c r="AC115" s="126"/>
      <c r="AD115" s="22" t="s">
        <v>7</v>
      </c>
      <c r="AE115" s="22"/>
      <c r="AF115" s="77" t="str">
        <f>IFERROR(
IF(AND(AH113=BG113,BF113&gt;0),"-",
IF(AND(AH113&lt;&gt;BG113,AH113&lt;&gt;BG115),":","÷")),":")</f>
        <v>:</v>
      </c>
      <c r="AG115" s="22"/>
      <c r="AH115" s="118"/>
      <c r="AI115" s="118"/>
      <c r="AJ115" s="118"/>
      <c r="AK115" s="118"/>
      <c r="AL115" s="118"/>
      <c r="AM115" s="118"/>
      <c r="AN115" s="118"/>
      <c r="AO115" s="118"/>
      <c r="AP115" s="118"/>
      <c r="AQ115" s="118"/>
      <c r="AR115" s="118"/>
      <c r="AS115" s="22"/>
      <c r="AT115" s="77" t="s">
        <v>131</v>
      </c>
      <c r="AU115" s="22"/>
      <c r="AV115" s="131" t="str">
        <f>IF(K115="","",IFERROR(IF(Standard="Pre-Developed Pasture Standard",MIN(K115,BH113),IF(Standard="Peak Control Standard",MIN(K115,BH115),IF(Standard="Pre-Developed Pasture and Peak Control Standards",MIN(K115,BH113,BH115),""))),""))</f>
        <v/>
      </c>
      <c r="AW115" s="131"/>
      <c r="AX115" s="131"/>
      <c r="AY115" s="131"/>
      <c r="AZ115" s="131"/>
      <c r="BA115" s="22" t="s">
        <v>7</v>
      </c>
      <c r="BB115" s="27"/>
      <c r="BD115" s="28" t="s">
        <v>82</v>
      </c>
      <c r="BE115" s="59" t="e">
        <f>IF(K115&gt;10000,"NA",INDEX('Sizing Factors'!$H:$H,MATCH(C113&amp;K117&amp;BD$115,'Sizing Factors'!$K:$K,0)))</f>
        <v>#N/A</v>
      </c>
      <c r="BF115" s="59" t="e">
        <f>INDEX('Sizing Factors'!$I:$I,MATCH(C113&amp;K117&amp;BD115,'Sizing Factors'!$K:$K,0))</f>
        <v>#N/A</v>
      </c>
      <c r="BG115" s="59" t="e">
        <f>IF(BF115=0,BE115*100&amp;"%",BF115&amp;" ] ÷ "&amp;BE115)</f>
        <v>#N/A</v>
      </c>
      <c r="BH115" s="60" t="e">
        <f>MAX(($Z$115-$BF$115)/$BE$115,0)</f>
        <v>#N/A</v>
      </c>
      <c r="BI115" s="68" t="str">
        <f>IF(K115&gt;10000,"Not applicable for contributing area &gt; 10,000 sf","")</f>
        <v/>
      </c>
      <c r="BJ115" s="28"/>
      <c r="BK115" s="28"/>
      <c r="BL115" s="28"/>
      <c r="BM115" s="28"/>
      <c r="BN115" s="28"/>
      <c r="BO115" s="28"/>
    </row>
    <row r="116" spans="1:80" ht="3.75" customHeight="1" x14ac:dyDescent="0.2">
      <c r="A116" s="21"/>
      <c r="B116" s="23"/>
      <c r="C116" s="23"/>
      <c r="D116" s="22"/>
      <c r="E116" s="22"/>
      <c r="F116" s="22"/>
      <c r="G116" s="22"/>
      <c r="H116" s="22"/>
      <c r="I116" s="22"/>
      <c r="J116" s="22"/>
      <c r="K116" s="22"/>
      <c r="L116" s="22"/>
      <c r="M116" s="22"/>
      <c r="N116" s="22"/>
      <c r="O116" s="22"/>
      <c r="P116" s="22"/>
      <c r="Q116" s="1"/>
      <c r="R116" s="22"/>
      <c r="S116" s="22"/>
      <c r="T116" s="22"/>
      <c r="U116" s="22"/>
      <c r="V116" s="22"/>
      <c r="W116" s="22"/>
      <c r="X116" s="22"/>
      <c r="Y116" s="24"/>
      <c r="Z116" s="24"/>
      <c r="AA116" s="24"/>
      <c r="AB116" s="24"/>
      <c r="AC116" s="24"/>
      <c r="AD116" s="24"/>
      <c r="AE116" s="24"/>
      <c r="AF116" s="26"/>
      <c r="AG116" s="22"/>
      <c r="AH116" s="70"/>
      <c r="AI116" s="70"/>
      <c r="AJ116" s="70"/>
      <c r="AK116" s="70"/>
      <c r="AL116" s="70"/>
      <c r="AM116" s="70"/>
      <c r="AN116" s="70"/>
      <c r="AO116" s="70"/>
      <c r="AP116" s="70"/>
      <c r="AQ116" s="70"/>
      <c r="AR116" s="70"/>
      <c r="AS116" s="22"/>
      <c r="AT116" s="26"/>
      <c r="AU116" s="22"/>
      <c r="AV116" s="26"/>
      <c r="AW116" s="26"/>
      <c r="AX116" s="26"/>
      <c r="AY116" s="26"/>
      <c r="AZ116" s="26"/>
      <c r="BA116" s="22"/>
      <c r="BB116" s="27"/>
      <c r="BD116" s="28"/>
      <c r="BE116" s="28"/>
      <c r="BF116" s="28"/>
      <c r="BG116" s="28"/>
      <c r="BH116" s="28"/>
      <c r="BI116" s="28"/>
      <c r="BJ116" s="28"/>
      <c r="BK116" s="28"/>
      <c r="BL116" s="28"/>
      <c r="BM116" s="28"/>
      <c r="BN116" s="28"/>
      <c r="BO116" s="28"/>
    </row>
    <row r="117" spans="1:80" x14ac:dyDescent="0.2">
      <c r="A117" s="21"/>
      <c r="B117" s="23"/>
      <c r="C117" s="23"/>
      <c r="D117" s="22" t="s">
        <v>149</v>
      </c>
      <c r="E117" s="22"/>
      <c r="F117" s="22"/>
      <c r="G117" s="22"/>
      <c r="H117" s="22"/>
      <c r="I117" s="22"/>
      <c r="J117" s="22"/>
      <c r="K117" s="144"/>
      <c r="L117" s="144"/>
      <c r="M117" s="144"/>
      <c r="N117" s="144"/>
      <c r="O117" s="22" t="s">
        <v>52</v>
      </c>
      <c r="P117" s="22"/>
      <c r="Q117" s="120" t="str">
        <f>IF(OR(K115="",K117="",Z115=""),"",IFERROR(
IF(Standard="Pre-Developed Pasture Standard",
IF(Z115&gt;ROUNDUP(K115*BE113+BF113,0),"Infiltration chamber can be reduced to "&amp;TEXT(ROUNDUP(K115*BE113+BF113,0),"#,##0")&amp; " sf.",
IF(Z115&lt;ROUNDUP(K115*BE113+BF113,0),"Infiltration chamber to fully manage area is "&amp;TEXT(ROUNDUP(K115*BE113+BF113,0),"#,##0")&amp; " sf.","")),
IF(Standard="Peak Control Standard",
IF(Z115&gt;ROUNDUP(K115*BE115+BF115,0),"Infiltration chamber can be reduced to "&amp;TEXT(ROUNDUP(K115*BE115+BF115,0),"#,##0")&amp;" sf.",
IF(Z115&lt;ROUNDUP(K115*BE115+BF115,0),"Infiltration chamber to fully manage area is "&amp;TEXT(ROUNDUP(K115*BE115+BF115,0),"#,##0")&amp;" sf.","")),
IF(Standard="Pre-developed Pasture and Peak Control Standards",
IF(Z115&gt;ROUNDUP(MAX(K115*BE113+BF113,K115*BE115+BF115),0),"Infiltration chamber can be reduced to "&amp;TEXT(ROUNDUP(MAX(K115*BE113+BF113,K115*BE115+BF115),0),"#,##0")&amp;" sf.",
IF(Z115&lt;ROUNDUP(MAX(K115*BE113+BF113,K115*BE115+BF115),0),"Infiltration chamber to fully manage area is "&amp;TEXT(ROUNDUP(MAX(K115*BE113+BF113,K115*BE115+BF115),0),"#,##0")&amp;" sf.","")),""))),"")&amp;
IF(OR(K115="",K117="",Standard=""),""," The effective chamber storage depth to fully manage area is at least 2 feet."))</f>
        <v/>
      </c>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27"/>
      <c r="BC117" s="28"/>
      <c r="BD117" s="58" t="str">
        <f>C121</f>
        <v>Detention Pipe</v>
      </c>
      <c r="BE117" s="28"/>
      <c r="BF117" s="28"/>
      <c r="BG117" s="28"/>
      <c r="BH117" s="28"/>
      <c r="BI117" s="28"/>
      <c r="BJ117" s="28"/>
      <c r="BK117" s="28"/>
      <c r="BL117" s="28"/>
      <c r="BM117" s="28"/>
      <c r="BN117" s="28"/>
      <c r="BO117" s="28"/>
      <c r="BP117" s="28"/>
      <c r="BQ117" s="28"/>
      <c r="BR117" s="28"/>
      <c r="BS117" s="28"/>
      <c r="BT117" s="28"/>
      <c r="BU117" s="28"/>
      <c r="BV117" s="28"/>
      <c r="BW117" s="28"/>
    </row>
    <row r="118" spans="1:80" ht="3.75" customHeight="1" x14ac:dyDescent="0.2">
      <c r="A118" s="6"/>
      <c r="B118" s="14"/>
      <c r="C118" s="14"/>
      <c r="D118" s="7"/>
      <c r="E118" s="7"/>
      <c r="F118" s="7"/>
      <c r="G118" s="7"/>
      <c r="H118" s="7"/>
      <c r="I118" s="7"/>
      <c r="J118" s="7"/>
      <c r="K118" s="7"/>
      <c r="L118" s="7"/>
      <c r="M118" s="7"/>
      <c r="N118" s="7"/>
      <c r="O118" s="7"/>
      <c r="P118" s="7"/>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8"/>
      <c r="BD118" s="28"/>
      <c r="BE118" s="28"/>
      <c r="BF118" s="28"/>
      <c r="BG118" s="28"/>
      <c r="BH118" s="28"/>
      <c r="BI118" s="28"/>
      <c r="BJ118" s="28"/>
      <c r="BK118" s="28"/>
      <c r="BL118" s="28"/>
      <c r="BM118" s="28"/>
      <c r="BN118" s="28"/>
      <c r="BO118" s="28"/>
    </row>
    <row r="119" spans="1:80" x14ac:dyDescent="0.2">
      <c r="A119" s="6"/>
      <c r="B119" s="13" t="s">
        <v>39</v>
      </c>
      <c r="C119" s="14"/>
      <c r="D119" s="7"/>
      <c r="E119" s="7"/>
      <c r="F119" s="7"/>
      <c r="G119" s="7"/>
      <c r="H119" s="7"/>
      <c r="I119" s="7"/>
      <c r="J119" s="7"/>
      <c r="K119" s="7"/>
      <c r="L119" s="7"/>
      <c r="M119" s="7"/>
      <c r="N119" s="7"/>
      <c r="O119" s="7"/>
      <c r="P119" s="7"/>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8"/>
      <c r="BD119" s="28" t="s">
        <v>90</v>
      </c>
      <c r="BE119" s="59" t="s">
        <v>84</v>
      </c>
      <c r="BF119" s="59" t="s">
        <v>110</v>
      </c>
      <c r="BG119" s="59" t="s">
        <v>89</v>
      </c>
      <c r="BH119" s="59" t="s">
        <v>17</v>
      </c>
      <c r="BI119" s="59" t="s">
        <v>133</v>
      </c>
      <c r="BJ119" s="28"/>
      <c r="BK119" s="28"/>
      <c r="BL119" s="28"/>
      <c r="BM119" s="28"/>
      <c r="BN119" s="28"/>
      <c r="BO119" s="28"/>
      <c r="BX119" s="28"/>
      <c r="BY119" s="28"/>
    </row>
    <row r="120" spans="1:80" ht="3.75" customHeight="1" x14ac:dyDescent="0.2">
      <c r="A120" s="6"/>
      <c r="B120" s="14"/>
      <c r="C120" s="14"/>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8"/>
      <c r="BD120" s="28"/>
      <c r="BE120" s="28"/>
      <c r="BF120" s="28"/>
      <c r="BG120" s="28"/>
      <c r="BH120" s="28"/>
      <c r="BI120" s="28"/>
      <c r="BJ120" s="28"/>
      <c r="BK120" s="28"/>
      <c r="BL120" s="28"/>
      <c r="BM120" s="28"/>
      <c r="BN120" s="28"/>
      <c r="BO120" s="28"/>
    </row>
    <row r="121" spans="1:80" s="28" customFormat="1" x14ac:dyDescent="0.2">
      <c r="A121" s="6"/>
      <c r="B121" s="14"/>
      <c r="C121" s="14" t="s">
        <v>40</v>
      </c>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117" t="str">
        <f>IF(Standard="","Select flow control standard",IF(K123="","Enter contributing area",IF(K125="","Select pipe diameter",
IF(Standard="Pre-developed pasture standard",IFERROR(BG121,BI121),
IF(Standard="Peak Control Standard",IFERROR(BG123,BI123),
IFERROR(IF(BH121&lt;BH123,BG121,BG123),BI121))))))</f>
        <v>Select flow control standard</v>
      </c>
      <c r="AI121" s="117"/>
      <c r="AJ121" s="117"/>
      <c r="AK121" s="117"/>
      <c r="AL121" s="117"/>
      <c r="AM121" s="117"/>
      <c r="AN121" s="117"/>
      <c r="AO121" s="117"/>
      <c r="AP121" s="117"/>
      <c r="AQ121" s="117"/>
      <c r="AR121" s="117"/>
      <c r="AS121" s="7"/>
      <c r="AT121" s="7"/>
      <c r="AU121" s="7"/>
      <c r="AV121" s="7"/>
      <c r="AW121" s="7"/>
      <c r="AX121" s="7"/>
      <c r="AY121" s="7"/>
      <c r="AZ121" s="7"/>
      <c r="BA121" s="7"/>
      <c r="BB121" s="8"/>
      <c r="BC121" s="2"/>
      <c r="BD121" s="28" t="s">
        <v>9</v>
      </c>
      <c r="BE121" s="59" t="e">
        <f>INDEX('Sizing Factors'!$H:$H,MATCH(C121&amp;K125&amp;IF(AND(K123&gt;=2000,K123&lt;=10000),"200010000","x")&amp;BD121,'Sizing Factors'!$K:$K,0))</f>
        <v>#N/A</v>
      </c>
      <c r="BF121" s="59" t="e">
        <f>INDEX('Sizing Factors'!$I:$I,MATCH(C121&amp;K125&amp;IF(AND(K123&gt;=2000,K123&lt;=10000),"200010000","x")&amp;BD121,'Sizing Factors'!$K:$K,0))</f>
        <v>#N/A</v>
      </c>
      <c r="BG121" s="59" t="e">
        <f>IF(BF121=0,BE121*100&amp;"%",BF121&amp;" ] ÷ "&amp;BE121)</f>
        <v>#N/A</v>
      </c>
      <c r="BH121" s="60" t="e">
        <f>MAX((Z123-BF121)/BE121,0)</f>
        <v>#N/A</v>
      </c>
      <c r="BI121" s="68" t="str">
        <f>IF(K123&gt;10000,"Not applicable for contributing area &gt; 10,000 sf",IF(K123&lt;2000,"Not applicable for contributing area &lt; 2,000 sf",INDEX('Sizing Factors'!$J:$J,MATCH(C121&amp;K125&amp;IF(AND(K123&gt;=2000,K123&lt;=10000),"200010000","x")&amp;BD121,'Sizing Factors'!$K:$K,0))))</f>
        <v>Not applicable for contributing area &lt; 2,000 sf</v>
      </c>
      <c r="BX121" s="2"/>
      <c r="BY121" s="2"/>
    </row>
    <row r="122" spans="1:80" ht="3.75" customHeight="1" x14ac:dyDescent="0.2">
      <c r="A122" s="6"/>
      <c r="B122" s="14"/>
      <c r="C122" s="14"/>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117"/>
      <c r="AI122" s="117"/>
      <c r="AJ122" s="117"/>
      <c r="AK122" s="117"/>
      <c r="AL122" s="117"/>
      <c r="AM122" s="117"/>
      <c r="AN122" s="117"/>
      <c r="AO122" s="117"/>
      <c r="AP122" s="117"/>
      <c r="AQ122" s="117"/>
      <c r="AR122" s="117"/>
      <c r="AS122" s="7"/>
      <c r="AT122" s="7"/>
      <c r="AU122" s="7"/>
      <c r="AV122" s="7"/>
      <c r="AW122" s="7"/>
      <c r="AX122" s="7"/>
      <c r="AY122" s="7"/>
      <c r="AZ122" s="7"/>
      <c r="BA122" s="7"/>
      <c r="BB122" s="8"/>
      <c r="BD122" s="28"/>
      <c r="BE122" s="59"/>
      <c r="BF122" s="59"/>
      <c r="BG122" s="59"/>
      <c r="BH122" s="59"/>
      <c r="BI122" s="59"/>
      <c r="BJ122" s="28"/>
      <c r="BK122" s="28"/>
      <c r="BL122" s="28"/>
      <c r="BM122" s="28"/>
      <c r="BN122" s="28"/>
      <c r="BO122" s="28"/>
      <c r="BP122" s="28"/>
      <c r="BQ122" s="28"/>
      <c r="BR122" s="28"/>
      <c r="BS122" s="28"/>
      <c r="BT122" s="28"/>
      <c r="BU122" s="28"/>
      <c r="BV122" s="28"/>
      <c r="BW122" s="28"/>
    </row>
    <row r="123" spans="1:80" x14ac:dyDescent="0.2">
      <c r="A123" s="21"/>
      <c r="B123" s="23"/>
      <c r="C123" s="23"/>
      <c r="D123" s="22" t="s">
        <v>23</v>
      </c>
      <c r="E123" s="22"/>
      <c r="F123" s="22"/>
      <c r="G123" s="22"/>
      <c r="H123" s="22"/>
      <c r="I123" s="22"/>
      <c r="J123" s="22"/>
      <c r="K123" s="126"/>
      <c r="L123" s="126"/>
      <c r="M123" s="126"/>
      <c r="N123" s="126"/>
      <c r="O123" s="22" t="s">
        <v>7</v>
      </c>
      <c r="P123" s="22"/>
      <c r="Q123" s="1" t="s">
        <v>69</v>
      </c>
      <c r="R123" s="22"/>
      <c r="S123" s="22"/>
      <c r="T123" s="22"/>
      <c r="U123" s="22"/>
      <c r="V123" s="22"/>
      <c r="W123" s="22"/>
      <c r="X123" s="22"/>
      <c r="Y123" s="24" t="str">
        <f>IF(AF123=":","",IF(OR(AH121=BG121,AH121=BG123),"[ ",""))</f>
        <v/>
      </c>
      <c r="Z123" s="126"/>
      <c r="AA123" s="126"/>
      <c r="AB123" s="126"/>
      <c r="AC123" s="126"/>
      <c r="AD123" s="22" t="s">
        <v>54</v>
      </c>
      <c r="AE123" s="22"/>
      <c r="AF123" s="26" t="str">
        <f>IFERROR(
IF(AND(AH121=BG121,BF121&gt;0),"-",
IF(AND(AH121=BG123,BF123&gt;0),"÷",
IF(AND(AH121&lt;&gt;BG121,AH121&lt;&gt;BG123),":","÷"))),":")</f>
        <v>:</v>
      </c>
      <c r="AG123" s="22"/>
      <c r="AH123" s="118"/>
      <c r="AI123" s="118"/>
      <c r="AJ123" s="118"/>
      <c r="AK123" s="118"/>
      <c r="AL123" s="118"/>
      <c r="AM123" s="118"/>
      <c r="AN123" s="118"/>
      <c r="AO123" s="118"/>
      <c r="AP123" s="118"/>
      <c r="AQ123" s="118"/>
      <c r="AR123" s="118"/>
      <c r="AS123" s="22"/>
      <c r="AT123" s="77" t="str">
        <f>IF(AF123="=","A=","=")</f>
        <v>=</v>
      </c>
      <c r="AU123" s="22"/>
      <c r="AV123" s="131" t="str">
        <f>IFERROR(IF(Standard="Pre-Developed Pasture Standard",MIN(K123,BH121),IF(Standard="Peak Control Standard",MIN(K123,BH123),IF(Standard="Pre-Developed Pasture and Peak Control Standards",MIN(K123,BH121,BH123),""))),"")</f>
        <v/>
      </c>
      <c r="AW123" s="131"/>
      <c r="AX123" s="131"/>
      <c r="AY123" s="131"/>
      <c r="AZ123" s="131"/>
      <c r="BA123" s="22" t="s">
        <v>7</v>
      </c>
      <c r="BB123" s="27"/>
      <c r="BC123" s="28"/>
      <c r="BD123" s="28" t="s">
        <v>82</v>
      </c>
      <c r="BE123" s="59" t="e">
        <f>INDEX('Sizing Factors'!$H:$H,MATCH(C121&amp;K125&amp;IF(AND(K123&gt;=2000,K123&lt;=10000),"200010000","x")&amp;BD123,'Sizing Factors'!$K:$K,0))</f>
        <v>#N/A</v>
      </c>
      <c r="BF123" s="59" t="e">
        <f>INDEX('Sizing Factors'!$I:$I,MATCH(C121&amp;K125&amp;IF(AND(K123&gt;=2000,K123&lt;=10000),"200010000","x")&amp;BD123,'Sizing Factors'!$K:$K,0))</f>
        <v>#N/A</v>
      </c>
      <c r="BG123" s="59" t="e">
        <f>IF(BF123=0,BE123*100&amp;"%",BE123&amp;" ] ^ (1 / "&amp;BF123&amp;")")</f>
        <v>#N/A</v>
      </c>
      <c r="BH123" s="60" t="e">
        <f>IF(BF123=0,(Z123-BF123)/BE123,(Z123/BE123)^(1/BF123))</f>
        <v>#N/A</v>
      </c>
      <c r="BI123" s="68" t="str">
        <f>IF(K123&gt;10000,"Not applicable for contributing area &gt; 10,000 sf",IF(K123&lt;2000,"Not applicable for contributing area &lt; 2,000 sf",INDEX('Sizing Factors'!$J:$J,MATCH(C121&amp;K125&amp;IF(AND(K123&gt;=2000,K123&lt;=10000),"200010000","x")&amp;BD123,'Sizing Factors'!$K:$K,0))))</f>
        <v>Not applicable for contributing area &lt; 2,000 sf</v>
      </c>
      <c r="BJ123" s="28"/>
      <c r="BK123" s="28"/>
      <c r="BL123" s="28"/>
      <c r="BM123" s="28"/>
      <c r="BN123" s="28"/>
      <c r="BO123" s="28"/>
      <c r="BP123" s="28"/>
      <c r="BQ123" s="28"/>
      <c r="BR123" s="28"/>
      <c r="BS123" s="28"/>
      <c r="BT123" s="28"/>
      <c r="BU123" s="28"/>
      <c r="BV123" s="28"/>
      <c r="BW123" s="28"/>
    </row>
    <row r="124" spans="1:80" ht="3.75" customHeight="1" x14ac:dyDescent="0.2">
      <c r="A124" s="21"/>
      <c r="B124" s="23"/>
      <c r="C124" s="23"/>
      <c r="D124" s="22"/>
      <c r="E124" s="22"/>
      <c r="F124" s="22"/>
      <c r="G124" s="22"/>
      <c r="H124" s="22"/>
      <c r="I124" s="22"/>
      <c r="J124" s="22"/>
      <c r="K124" s="22"/>
      <c r="L124" s="22"/>
      <c r="M124" s="22"/>
      <c r="N124" s="22"/>
      <c r="O124" s="22"/>
      <c r="P124" s="22"/>
      <c r="Q124" s="1"/>
      <c r="R124" s="22"/>
      <c r="S124" s="22"/>
      <c r="T124" s="22"/>
      <c r="U124" s="22"/>
      <c r="V124" s="22"/>
      <c r="W124" s="22"/>
      <c r="X124" s="22"/>
      <c r="Y124" s="22"/>
      <c r="Z124" s="22"/>
      <c r="AA124" s="22"/>
      <c r="AB124" s="22"/>
      <c r="AC124" s="22"/>
      <c r="AD124" s="22"/>
      <c r="AE124" s="22"/>
      <c r="AF124" s="26"/>
      <c r="AG124" s="22"/>
      <c r="AH124" s="70"/>
      <c r="AI124" s="70"/>
      <c r="AJ124" s="70"/>
      <c r="AK124" s="70"/>
      <c r="AL124" s="70"/>
      <c r="AM124" s="70"/>
      <c r="AN124" s="70"/>
      <c r="AO124" s="70"/>
      <c r="AP124" s="70"/>
      <c r="AQ124" s="70"/>
      <c r="AR124" s="70"/>
      <c r="AS124" s="22"/>
      <c r="AT124" s="26"/>
      <c r="AU124" s="22"/>
      <c r="AV124" s="26"/>
      <c r="AW124" s="26"/>
      <c r="AX124" s="26"/>
      <c r="AY124" s="26"/>
      <c r="AZ124" s="26"/>
      <c r="BA124" s="22"/>
      <c r="BB124" s="27"/>
      <c r="BD124" s="28"/>
      <c r="BE124" s="28"/>
      <c r="BF124" s="28"/>
      <c r="BG124" s="28"/>
      <c r="BH124" s="28"/>
      <c r="BI124" s="28"/>
      <c r="BJ124" s="28"/>
      <c r="BK124" s="28"/>
      <c r="BL124" s="28"/>
      <c r="BM124" s="28"/>
      <c r="BN124" s="28"/>
      <c r="BO124" s="28"/>
    </row>
    <row r="125" spans="1:80" ht="12" customHeight="1" x14ac:dyDescent="0.2">
      <c r="A125" s="21"/>
      <c r="B125" s="23"/>
      <c r="C125" s="23"/>
      <c r="D125" s="22" t="s">
        <v>68</v>
      </c>
      <c r="E125" s="22"/>
      <c r="F125" s="22"/>
      <c r="G125" s="22"/>
      <c r="H125" s="22"/>
      <c r="I125" s="22"/>
      <c r="J125" s="22"/>
      <c r="K125" s="144"/>
      <c r="L125" s="144"/>
      <c r="M125" s="144"/>
      <c r="N125" s="144"/>
      <c r="O125" s="22" t="s">
        <v>52</v>
      </c>
      <c r="P125" s="22"/>
      <c r="Q125" s="143" t="str">
        <f>IFERROR(
IF(Standard="Pre-Developed Pasture Standard",
IF(Z123&gt;ROUNDUP(K123*BE121+BF121,0),"Detention pipe can be reduced to "&amp;TEXT(ROUNDUP(K123*BE121+BF121,0),"#,##0")&amp; " ft. ",
IF(Z123&lt;ROUNDUP(K123*BE121+BF121,0),"Detention pipe to fully manage area is "&amp;TEXT(ROUNDUP(K123*BE121+BF121,0),"#,##0")&amp; " ft. ","")),
IF(Standard="Peak Control Standard",
IF(Z123&gt;ROUNDUP(K123^BF123*BE123,0),"Detention pipe can be reduced to "&amp;TEXT(ROUNDUP(K123^BF123*BE123,0),"#,##0")&amp;" ft. ",
IF(Z123&lt;ROUNDUP(K123^BF123*BE123,0),"Detention pipe to fully manage area is "&amp;TEXT(ROUNDUP(K123^BF123*BE123,0),"#,##0")&amp;" ft. ","")),
IF(Standard="Pre-developed Pasture and Peak Control Standards",
IF(Z123&gt;MAX(K123*BE121+BF121,K123^BF123*BE123),"Detention pipe can be reduced to "&amp;TEXT(ROUNDUP(MAX(K123*BE121+BF121,K123^BF123*BE123),0),"#,##0")&amp;" ft. ",
IF(Z123&lt;MAX(K123*BE121+BF121,K123^BF123*BE123),"Detention pipe to fully manage area is "&amp;TEXT(ROUNDUP(MAX(K123*BE121+BF121,K123^BF123*BE123),0),"#,##0")&amp;" ft. ","")),"")))&amp;
IF(OR(K123="",K125="",Standard=""),"","The low flow orifice diameter to fully manage area is 0.5 inches."),"")</f>
        <v/>
      </c>
      <c r="R125" s="143"/>
      <c r="S125" s="143"/>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27"/>
      <c r="BD125" s="58" t="str">
        <f>C127</f>
        <v>Detention Vault</v>
      </c>
      <c r="BE125" s="28"/>
      <c r="BF125" s="28"/>
      <c r="BG125" s="28"/>
      <c r="BH125" s="28"/>
      <c r="BI125" s="28"/>
      <c r="BJ125" s="28"/>
      <c r="BK125" s="28"/>
      <c r="BL125" s="28"/>
      <c r="BM125" s="28"/>
      <c r="BN125" s="28"/>
      <c r="BO125" s="28"/>
      <c r="BX125" s="28"/>
      <c r="BY125" s="28"/>
    </row>
    <row r="126" spans="1:80" ht="3.75" customHeight="1" x14ac:dyDescent="0.2">
      <c r="A126" s="6"/>
      <c r="B126" s="14"/>
      <c r="C126" s="14"/>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113"/>
      <c r="AI126" s="113"/>
      <c r="AJ126" s="113"/>
      <c r="AK126" s="113"/>
      <c r="AL126" s="113"/>
      <c r="AM126" s="113"/>
      <c r="AN126" s="113"/>
      <c r="AO126" s="113"/>
      <c r="AP126" s="113"/>
      <c r="AQ126" s="113"/>
      <c r="AR126" s="113"/>
      <c r="AS126" s="7"/>
      <c r="AT126" s="7"/>
      <c r="AU126" s="7"/>
      <c r="AV126" s="7"/>
      <c r="AW126" s="7"/>
      <c r="AX126" s="7"/>
      <c r="AY126" s="7"/>
      <c r="AZ126" s="7"/>
      <c r="BA126" s="7"/>
      <c r="BB126" s="8"/>
      <c r="BD126" s="28"/>
      <c r="BE126" s="28"/>
      <c r="BF126" s="28"/>
      <c r="BG126" s="28"/>
      <c r="BH126" s="28"/>
      <c r="BI126" s="28"/>
      <c r="BJ126" s="28"/>
      <c r="BK126" s="28"/>
      <c r="BL126" s="28"/>
      <c r="BM126" s="28"/>
      <c r="BN126" s="28"/>
      <c r="BO126" s="28"/>
    </row>
    <row r="127" spans="1:80" s="28" customFormat="1" ht="12" customHeight="1" x14ac:dyDescent="0.2">
      <c r="A127" s="6"/>
      <c r="B127" s="14"/>
      <c r="C127" s="14" t="s">
        <v>41</v>
      </c>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141" t="str">
        <f>IF(Standard="","Select flow control standard",IF(K129="","Enter contributing area",IF(K131="","Select head above orifice",
IF(Standard="Pre-developed pasture standard",IFERROR(BG129,BI129),
IF(Standard="Peak Control Standard",IFERROR(BG131,BI131),
IFERROR(BG129,BI129))))))</f>
        <v>Select flow control standard</v>
      </c>
      <c r="AI127" s="141"/>
      <c r="AJ127" s="141"/>
      <c r="AK127" s="141"/>
      <c r="AL127" s="141"/>
      <c r="AM127" s="141"/>
      <c r="AN127" s="141"/>
      <c r="AO127" s="141"/>
      <c r="AP127" s="141"/>
      <c r="AQ127" s="141"/>
      <c r="AR127" s="141"/>
      <c r="AS127" s="7"/>
      <c r="AT127" s="7"/>
      <c r="AU127" s="7"/>
      <c r="AV127" s="7"/>
      <c r="AW127" s="7"/>
      <c r="AX127" s="7"/>
      <c r="AY127" s="7"/>
      <c r="AZ127" s="7"/>
      <c r="BA127" s="7"/>
      <c r="BB127" s="8"/>
      <c r="BC127" s="2"/>
      <c r="BD127" s="28" t="s">
        <v>90</v>
      </c>
      <c r="BE127" s="59" t="s">
        <v>84</v>
      </c>
      <c r="BF127" s="59" t="s">
        <v>110</v>
      </c>
      <c r="BG127" s="59" t="s">
        <v>89</v>
      </c>
      <c r="BH127" s="59" t="s">
        <v>17</v>
      </c>
      <c r="BI127" s="59" t="s">
        <v>133</v>
      </c>
      <c r="BP127" s="2"/>
      <c r="BQ127" s="2"/>
      <c r="BR127" s="2"/>
      <c r="BS127" s="2"/>
      <c r="BT127" s="2"/>
      <c r="BU127" s="2"/>
      <c r="BV127" s="2"/>
      <c r="BW127" s="2"/>
      <c r="BX127" s="2"/>
      <c r="BY127" s="2"/>
      <c r="BZ127" s="2"/>
      <c r="CA127" s="2"/>
      <c r="CB127" s="2"/>
    </row>
    <row r="128" spans="1:80" ht="3.75" customHeight="1" x14ac:dyDescent="0.2">
      <c r="A128" s="6"/>
      <c r="B128" s="14"/>
      <c r="C128" s="14"/>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141"/>
      <c r="AI128" s="141"/>
      <c r="AJ128" s="141"/>
      <c r="AK128" s="141"/>
      <c r="AL128" s="141"/>
      <c r="AM128" s="141"/>
      <c r="AN128" s="141"/>
      <c r="AO128" s="141"/>
      <c r="AP128" s="141"/>
      <c r="AQ128" s="141"/>
      <c r="AR128" s="141"/>
      <c r="AS128" s="7"/>
      <c r="AT128" s="7"/>
      <c r="AU128" s="7"/>
      <c r="AV128" s="7"/>
      <c r="AW128" s="7"/>
      <c r="AX128" s="7"/>
      <c r="AY128" s="7"/>
      <c r="AZ128" s="7"/>
      <c r="BA128" s="7"/>
      <c r="BB128" s="8"/>
      <c r="BD128" s="28"/>
      <c r="BE128" s="28"/>
      <c r="BF128" s="28"/>
      <c r="BG128" s="28"/>
      <c r="BH128" s="28"/>
      <c r="BI128" s="28"/>
      <c r="BJ128" s="28"/>
      <c r="BK128" s="28"/>
      <c r="BL128" s="28"/>
      <c r="BM128" s="28"/>
      <c r="BN128" s="28"/>
      <c r="BO128" s="28"/>
    </row>
    <row r="129" spans="1:84" ht="12" customHeight="1" x14ac:dyDescent="0.2">
      <c r="A129" s="21"/>
      <c r="B129" s="23"/>
      <c r="C129" s="23"/>
      <c r="D129" s="22" t="s">
        <v>23</v>
      </c>
      <c r="E129" s="22"/>
      <c r="F129" s="22"/>
      <c r="G129" s="22"/>
      <c r="H129" s="22"/>
      <c r="I129" s="22"/>
      <c r="J129" s="22"/>
      <c r="K129" s="126"/>
      <c r="L129" s="126"/>
      <c r="M129" s="126"/>
      <c r="N129" s="126"/>
      <c r="O129" s="22" t="s">
        <v>7</v>
      </c>
      <c r="P129" s="22"/>
      <c r="Q129" s="1" t="s">
        <v>71</v>
      </c>
      <c r="R129" s="22"/>
      <c r="S129" s="22"/>
      <c r="T129" s="22"/>
      <c r="U129" s="22"/>
      <c r="V129" s="22"/>
      <c r="W129" s="22"/>
      <c r="X129" s="22"/>
      <c r="Y129" s="24" t="str">
        <f>IF(OR(AF129="≥",AF129=":"),"","[ ")</f>
        <v/>
      </c>
      <c r="Z129" s="126"/>
      <c r="AA129" s="126"/>
      <c r="AB129" s="126"/>
      <c r="AC129" s="126"/>
      <c r="AD129" s="22" t="s">
        <v>7</v>
      </c>
      <c r="AE129" s="22"/>
      <c r="AF129" s="80" t="str">
        <f>IFERROR(IF(Z129="",":",
IFERROR(
IF(AND(AH127&lt;&gt;BG129,AH127&lt;&gt;BG131),":",
IF(AND(AH127=BG129,BE129&gt;0),"-",
IF(AND(AH127=BG131,BE131&gt;0),"÷",
IF(AND(AH127=BG131,BE131&gt;0),"÷","≥")))),":")),":")</f>
        <v>:</v>
      </c>
      <c r="AG129" s="22"/>
      <c r="AH129" s="142"/>
      <c r="AI129" s="142"/>
      <c r="AJ129" s="142"/>
      <c r="AK129" s="142"/>
      <c r="AL129" s="142"/>
      <c r="AM129" s="142"/>
      <c r="AN129" s="142"/>
      <c r="AO129" s="142"/>
      <c r="AP129" s="142"/>
      <c r="AQ129" s="142"/>
      <c r="AR129" s="142"/>
      <c r="AS129" s="22"/>
      <c r="AT129" s="77" t="str">
        <f>IF(AF129="≥","A=","=")</f>
        <v>=</v>
      </c>
      <c r="AU129" s="22"/>
      <c r="AV129" s="131" t="str">
        <f>IFERROR(IF(Standard="Pre-Developed Pasture Standard",MIN(K129,BH129),IF(Standard="Peak Control Standard",MIN(K129,BH131),IF(Standard="Pre-Developed Pasture and Peak Control Standards",MIN(K129,BH129,BH131),""))),"")</f>
        <v/>
      </c>
      <c r="AW129" s="131"/>
      <c r="AX129" s="131"/>
      <c r="AY129" s="131"/>
      <c r="AZ129" s="131"/>
      <c r="BA129" s="22" t="s">
        <v>7</v>
      </c>
      <c r="BB129" s="27"/>
      <c r="BC129" s="28"/>
      <c r="BD129" s="28" t="s">
        <v>9</v>
      </c>
      <c r="BE129" s="59" t="e">
        <f>INDEX('Sizing Factors'!$H:$H,MATCH(C127&amp;K131&amp;IF(AND(K129&gt;=2000,K129&lt;=10000),"200010000","x")&amp;BD129,'Sizing Factors'!$K:$K,0))</f>
        <v>#N/A</v>
      </c>
      <c r="BF129" s="59" t="e">
        <f>INDEX('Sizing Factors'!$I:$I,MATCH(C127&amp;K131&amp;IF(AND(K129&gt;=2000,K129&lt;=10000),"200010000","x")&amp;BD129,'Sizing Factors'!$K:$K,0))</f>
        <v>#N/A</v>
      </c>
      <c r="BG129" s="59" t="e">
        <f>IF(BF129=0,BE129*100&amp;"%",BF129&amp;" ] ÷ "&amp;BE129)</f>
        <v>#N/A</v>
      </c>
      <c r="BH129" s="60">
        <f>IFERROR(MAX((Z129-BF129)/BE129,0),0)</f>
        <v>0</v>
      </c>
      <c r="BI129" s="68" t="str">
        <f>IF(K129&lt;2000,"Not applicable for contributing area &lt; 2,000 sf",IF(K129&gt;10000,"Not applicable for contributing area &gt; 10,000 sf",INDEX('Sizing Factors'!$J:$J,MATCH(C127&amp;K131&amp;IF(AND(K129&gt;=2000,K129&lt;=10000),"200010000","x")&amp;BD129,'Sizing Factors'!$K:$K,0))))</f>
        <v>Not applicable for contributing area &lt; 2,000 sf</v>
      </c>
      <c r="BJ129" s="28"/>
      <c r="BK129" s="28"/>
      <c r="BL129" s="28"/>
      <c r="BM129" s="28"/>
      <c r="BN129" s="28"/>
      <c r="BO129" s="28"/>
    </row>
    <row r="130" spans="1:84" ht="3.75" customHeight="1" x14ac:dyDescent="0.2">
      <c r="A130" s="21"/>
      <c r="B130" s="23"/>
      <c r="C130" s="23"/>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6"/>
      <c r="AG130" s="22"/>
      <c r="AH130" s="15"/>
      <c r="AI130" s="15"/>
      <c r="AJ130" s="15"/>
      <c r="AK130" s="15"/>
      <c r="AL130" s="15"/>
      <c r="AM130" s="15"/>
      <c r="AN130" s="15"/>
      <c r="AO130" s="15"/>
      <c r="AP130" s="15"/>
      <c r="AQ130" s="15"/>
      <c r="AR130" s="15"/>
      <c r="AS130" s="22"/>
      <c r="AT130" s="26"/>
      <c r="AU130" s="22"/>
      <c r="AV130" s="26"/>
      <c r="AW130" s="26"/>
      <c r="AX130" s="26"/>
      <c r="AY130" s="26"/>
      <c r="AZ130" s="26"/>
      <c r="BA130" s="22"/>
      <c r="BB130" s="27"/>
      <c r="BD130" s="28"/>
      <c r="BE130" s="59"/>
      <c r="BF130" s="59"/>
      <c r="BG130" s="59"/>
      <c r="BH130" s="59"/>
      <c r="BI130" s="59"/>
      <c r="BJ130" s="28"/>
      <c r="BK130" s="28"/>
      <c r="BL130" s="28"/>
      <c r="BM130" s="28"/>
      <c r="BN130" s="28"/>
      <c r="BO130" s="28"/>
    </row>
    <row r="131" spans="1:84" x14ac:dyDescent="0.2">
      <c r="A131" s="21"/>
      <c r="B131" s="23"/>
      <c r="C131" s="23"/>
      <c r="D131" s="22" t="s">
        <v>70</v>
      </c>
      <c r="E131" s="22"/>
      <c r="F131" s="22"/>
      <c r="G131" s="22"/>
      <c r="H131" s="22"/>
      <c r="I131" s="22"/>
      <c r="J131" s="22"/>
      <c r="K131" s="144"/>
      <c r="L131" s="144"/>
      <c r="M131" s="144"/>
      <c r="N131" s="144"/>
      <c r="O131" s="22" t="s">
        <v>54</v>
      </c>
      <c r="P131" s="22"/>
      <c r="Q131" s="82" t="str">
        <f>IFERROR(
IF(AND(Standard="Peak Control Standard",Z129&gt;ROUNDUP(IF(BI131="power",K129^BF131*BE131,K129*BE131+BF131),0)),"Detention vault can be reduced to "&amp;TEXT(ROUNDUP(IF(BI131="power",K129^BF131*BE131,K129*BE131+BF131),0),"#,##0")&amp;" sf. ",
IF(AND(Standard="Peak Control Standard",Z129&lt;ROUNDUP(IF(BI131="power",K129^BF131*BE131,K129*BE131+BF131),0)),"Detention vault to fully manage area is "&amp;TEXT(ROUNDUP(IF(BI131="power",K129^BF131*BE131,K129*BE131+BF131),0),"#,##0")&amp;" sf. ",
IF(AND(OR(Standard="Peak Control Standard",Standard="Pre-developed Pasture and Peak Control Standards"),OR(AND(K131=3,Z129&lt;64),AND(K131=4,Z129&lt;62))),"Vault must be at least "&amp;IF(K131=3,64,62)&amp;" sf to meet the Peak Control Standard. ",
IF(AND(Standard="Pre-Developed Pasture Standard",Z129&gt;ROUNDUP(K129*BE129+BF129,0)),"Detention vault can be reduced to "&amp;TEXT(ROUNDUP(K129*BE129+BF129,0),"#,##0")&amp; " sf. ",
IF(AND(Standard="Pre-Developed Pasture Standard",Z129&lt;ROUNDUP(K129*BE129+BF129,0)),"Detention vault to fully manage area is "&amp;TEXT(ROUNDUP(K129*BE129+BF129,0),"#,##0")&amp; " sf. ",
IF(AND(Standard="Pre-developed Pasture and Peak Control Standards",Z129&gt;ROUNDUP(MAX(K129*BE129+BF129,IF(BI131="power",K129^BF131*BE131,K129*BE131+BF131)),0)),"Detention vault can be reduced to "&amp;TEXT(ROUNDUP(MAX(K129*BE129+BF129,IF(BI131="power",K129^BF131*BE131,K129*BE131+BF131)),0),"#,##0")&amp;" sf. ",
IF(AND(Standard="Pre-developed Pasture and Peak Control Standards",Z129&lt;ROUNDUP(MAX(K129*BE129+BF129,IF(BI131="power",K129^BF131*BE131,K129*BE131+BF131)),0)),"Detention vault to fully manage area is "&amp;TEXT(ROUNDUP(MAX(K129*BE129+BF129,IF(BI131="power",K129^BF131*BE131,K129*BE131+BF131)),0),"#,##0")&amp;" sf. ","")))))))&amp;IF(OR(K129="",K131="",Standard=""),"","The low flow orifice diameter to fully manage area is 0.5 inches."),"")</f>
        <v/>
      </c>
      <c r="R131" s="22"/>
      <c r="S131" s="22"/>
      <c r="T131" s="22"/>
      <c r="U131" s="22"/>
      <c r="V131" s="22"/>
      <c r="W131" s="22"/>
      <c r="X131" s="22"/>
      <c r="Y131" s="22"/>
      <c r="Z131" s="22"/>
      <c r="AA131" s="22"/>
      <c r="AB131" s="22"/>
      <c r="AC131" s="22"/>
      <c r="AD131" s="22"/>
      <c r="AE131" s="22"/>
      <c r="AF131" s="26"/>
      <c r="AG131" s="22"/>
      <c r="AH131" s="15"/>
      <c r="AI131" s="15"/>
      <c r="AJ131" s="15"/>
      <c r="AK131" s="15"/>
      <c r="AL131" s="15"/>
      <c r="AM131" s="15"/>
      <c r="AN131" s="15"/>
      <c r="AO131" s="15"/>
      <c r="AP131" s="15"/>
      <c r="AQ131" s="15"/>
      <c r="AR131" s="15"/>
      <c r="AS131" s="22"/>
      <c r="AT131" s="26"/>
      <c r="AU131" s="22"/>
      <c r="AV131" s="26"/>
      <c r="AW131" s="26"/>
      <c r="AX131" s="26"/>
      <c r="AY131" s="26"/>
      <c r="AZ131" s="26"/>
      <c r="BA131" s="22"/>
      <c r="BB131" s="27"/>
      <c r="BD131" s="28" t="s">
        <v>82</v>
      </c>
      <c r="BE131" s="59" t="e">
        <f>INDEX('Sizing Factors'!$H:$H,MATCH(C127&amp;K131&amp;IF(K129&lt;2000,"02000",IF(K129&lt;=3000,"20003000",IF(K129&lt;=10000,"300010000","x")))&amp;BD131,'Sizing Factors'!$K:$K,0))</f>
        <v>#N/A</v>
      </c>
      <c r="BF131" s="59" t="e">
        <f>INDEX('Sizing Factors'!$I:$I,MATCH(C127&amp;K131&amp;IF(K129&lt;2000,"02000",IF(K129&lt;=3000,"20003000",IF(K129&lt;=10000,"300010000","x")))&amp;BD131,'Sizing Factors'!$K:$K,0))</f>
        <v>#N/A</v>
      </c>
      <c r="BG131" s="59" t="e">
        <f>IF(BE131=0,BF131&amp;" sf",BE131&amp;" ] ^ (1 / "&amp;BF131&amp;")")</f>
        <v>#N/A</v>
      </c>
      <c r="BH131" s="60">
        <f>IF(OR(K129&lt;2000,K129&gt;10000,AND(K131=3,Z129&lt;64),AND(K131=4,Z129&lt;62)),0,IF(BE131=0,K129,(Z129/BE131)^(1/BF131)))</f>
        <v>0</v>
      </c>
      <c r="BI131" s="68" t="str">
        <f>IF(K129&lt;2000,"Not applicable for contributing area &lt; 2,000 sf",IF(K129&gt;10000,"Not applicable for contributing area &gt; 10,000 sf",INDEX('Sizing Factors'!$J:$J,MATCH(C127&amp;K131&amp;IF(K129&lt;2000,"02000",IF(K129&lt;=3000,"20003000",IF(K129&lt;=10000,"300010000","x")))&amp;BD131,'Sizing Factors'!$K:$K,0))))</f>
        <v>Not applicable for contributing area &lt; 2,000 sf</v>
      </c>
      <c r="BJ131" s="28"/>
      <c r="BK131" s="28"/>
      <c r="BL131" s="28"/>
      <c r="BM131" s="28"/>
      <c r="BN131" s="28"/>
      <c r="BO131" s="28"/>
    </row>
    <row r="132" spans="1:84" ht="3.75" customHeight="1" x14ac:dyDescent="0.2">
      <c r="A132" s="6"/>
      <c r="B132" s="14"/>
      <c r="C132" s="14"/>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8"/>
      <c r="BD132" s="28"/>
      <c r="BE132" s="28"/>
      <c r="BF132" s="28"/>
      <c r="BG132" s="28"/>
      <c r="BH132" s="28"/>
      <c r="BI132" s="28"/>
      <c r="BJ132" s="28"/>
      <c r="BK132" s="28"/>
      <c r="BL132" s="28"/>
      <c r="BM132" s="28"/>
      <c r="BN132" s="28"/>
      <c r="BO132" s="28"/>
    </row>
    <row r="133" spans="1:84" s="28" customFormat="1" x14ac:dyDescent="0.2">
      <c r="A133" s="6"/>
      <c r="B133" s="14"/>
      <c r="C133" s="14" t="s">
        <v>42</v>
      </c>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141" t="str">
        <f>IF(Standard="","Select flow control standard",IF(K135="","Enter contributing area",IF(K137="","Select head above orifice",
IF(K135&gt;10000,BI137,IF(Standard="Pre-developed pasture standard",IFERROR(BG137,BI137),
IF(Standard="Peak Control Standard",IFERROR(BG140,BI140),
IFERROR(IF(BH137&lt;BH140,BG137,BG140),BI137)))))))</f>
        <v>Select flow control standard</v>
      </c>
      <c r="AI133" s="141"/>
      <c r="AJ133" s="141"/>
      <c r="AK133" s="141"/>
      <c r="AL133" s="141"/>
      <c r="AM133" s="141"/>
      <c r="AN133" s="141"/>
      <c r="AO133" s="141"/>
      <c r="AP133" s="141"/>
      <c r="AQ133" s="141"/>
      <c r="AR133" s="141"/>
      <c r="AS133" s="7"/>
      <c r="AT133" s="7"/>
      <c r="AU133" s="7"/>
      <c r="AV133" s="7"/>
      <c r="AW133" s="7"/>
      <c r="AX133" s="7"/>
      <c r="AY133" s="7"/>
      <c r="AZ133" s="7"/>
      <c r="BA133" s="7"/>
      <c r="BB133" s="8"/>
      <c r="BC133" s="2"/>
      <c r="BD133" s="58" t="str">
        <f>C133</f>
        <v>Detention Cistern</v>
      </c>
      <c r="BP133" s="2"/>
      <c r="BQ133" s="2"/>
      <c r="BR133" s="2"/>
      <c r="BS133" s="2"/>
      <c r="BT133" s="2"/>
      <c r="BU133" s="2"/>
      <c r="BV133" s="2"/>
      <c r="BW133" s="2"/>
      <c r="BX133" s="2"/>
      <c r="BY133" s="2"/>
    </row>
    <row r="134" spans="1:84" ht="3.75" customHeight="1" x14ac:dyDescent="0.2">
      <c r="A134" s="6"/>
      <c r="B134" s="14"/>
      <c r="C134" s="14"/>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141"/>
      <c r="AI134" s="141"/>
      <c r="AJ134" s="141"/>
      <c r="AK134" s="141"/>
      <c r="AL134" s="141"/>
      <c r="AM134" s="141"/>
      <c r="AN134" s="141"/>
      <c r="AO134" s="141"/>
      <c r="AP134" s="141"/>
      <c r="AQ134" s="141"/>
      <c r="AR134" s="141"/>
      <c r="AS134" s="7"/>
      <c r="AT134" s="7"/>
      <c r="AU134" s="7"/>
      <c r="AV134" s="7"/>
      <c r="AW134" s="7"/>
      <c r="AX134" s="7"/>
      <c r="AY134" s="7"/>
      <c r="AZ134" s="7"/>
      <c r="BA134" s="7"/>
      <c r="BB134" s="8"/>
      <c r="BD134" s="28"/>
      <c r="BE134" s="28"/>
      <c r="BF134" s="28"/>
      <c r="BG134" s="28"/>
      <c r="BH134" s="28"/>
      <c r="BI134" s="28"/>
      <c r="BJ134" s="28"/>
      <c r="BK134" s="28"/>
      <c r="BL134" s="28"/>
      <c r="BM134" s="28"/>
      <c r="BN134" s="28"/>
      <c r="BO134" s="28"/>
      <c r="BZ134" s="28"/>
      <c r="CA134" s="28"/>
      <c r="CB134" s="28"/>
      <c r="CC134" s="28"/>
      <c r="CD134" s="28"/>
      <c r="CE134" s="28"/>
      <c r="CF134" s="28"/>
    </row>
    <row r="135" spans="1:84" x14ac:dyDescent="0.2">
      <c r="A135" s="21"/>
      <c r="B135" s="23"/>
      <c r="C135" s="23"/>
      <c r="D135" s="22" t="s">
        <v>23</v>
      </c>
      <c r="E135" s="22"/>
      <c r="F135" s="22"/>
      <c r="G135" s="22"/>
      <c r="H135" s="22"/>
      <c r="I135" s="22"/>
      <c r="J135" s="22"/>
      <c r="K135" s="126"/>
      <c r="L135" s="126"/>
      <c r="M135" s="126"/>
      <c r="N135" s="126"/>
      <c r="O135" s="22" t="s">
        <v>7</v>
      </c>
      <c r="P135" s="22"/>
      <c r="Q135" s="1" t="s">
        <v>72</v>
      </c>
      <c r="R135" s="22"/>
      <c r="S135" s="22"/>
      <c r="T135" s="22"/>
      <c r="U135" s="22"/>
      <c r="V135" s="22"/>
      <c r="W135" s="22"/>
      <c r="X135" s="22"/>
      <c r="Y135" s="24" t="str">
        <f>IFERROR(IF(AND(AH133=BG137,BE137&gt;0,BF137&gt;0),"[ ",IF(AND(AH133=BG140,BF140&gt;0),"[ ","")),"")</f>
        <v/>
      </c>
      <c r="Z135" s="126"/>
      <c r="AA135" s="126"/>
      <c r="AB135" s="126"/>
      <c r="AC135" s="126"/>
      <c r="AD135" s="22" t="s">
        <v>7</v>
      </c>
      <c r="AE135" s="22"/>
      <c r="AF135" s="26" t="str">
        <f>IFERROR(IF(AH133=BG137,IF(BE137=0,"≥","÷"),IF(AH133=BG140,"÷",":")),":")</f>
        <v>:</v>
      </c>
      <c r="AG135" s="22"/>
      <c r="AH135" s="142"/>
      <c r="AI135" s="142"/>
      <c r="AJ135" s="142"/>
      <c r="AK135" s="142"/>
      <c r="AL135" s="142"/>
      <c r="AM135" s="142"/>
      <c r="AN135" s="142"/>
      <c r="AO135" s="142"/>
      <c r="AP135" s="142"/>
      <c r="AQ135" s="142"/>
      <c r="AR135" s="142"/>
      <c r="AS135" s="22"/>
      <c r="AT135" s="77" t="str">
        <f>IF(AF135="≥","A=","=")</f>
        <v>=</v>
      </c>
      <c r="AU135" s="22"/>
      <c r="AV135" s="131" t="str">
        <f>IFERROR(IF(Standard="Pre-Developed Pasture Standard",MIN(K135,BH137),IF(Standard="Peak Control Standard",MIN(K135,BH140),IF(Standard="Pre-Developed Pasture and Peak Control Standards",MIN(K135,BH137,BH140),""))),"")</f>
        <v/>
      </c>
      <c r="AW135" s="131"/>
      <c r="AX135" s="131"/>
      <c r="AY135" s="131"/>
      <c r="AZ135" s="131"/>
      <c r="BA135" s="22" t="s">
        <v>7</v>
      </c>
      <c r="BB135" s="27"/>
      <c r="BD135" s="28" t="s">
        <v>90</v>
      </c>
      <c r="BE135" s="59" t="s">
        <v>84</v>
      </c>
      <c r="BF135" s="59" t="s">
        <v>110</v>
      </c>
      <c r="BG135" s="59" t="s">
        <v>89</v>
      </c>
      <c r="BH135" s="59" t="s">
        <v>17</v>
      </c>
      <c r="BI135" s="59" t="s">
        <v>133</v>
      </c>
      <c r="BJ135" s="28"/>
      <c r="BK135" s="28"/>
      <c r="BL135" s="28"/>
      <c r="BM135" s="28"/>
      <c r="BN135" s="28"/>
      <c r="BO135" s="28"/>
      <c r="BZ135" s="28"/>
      <c r="CA135" s="28"/>
      <c r="CB135" s="28"/>
      <c r="CC135" s="28"/>
      <c r="CD135" s="28"/>
      <c r="CE135" s="28"/>
      <c r="CF135" s="28"/>
    </row>
    <row r="136" spans="1:84" ht="3.75" customHeight="1" x14ac:dyDescent="0.2">
      <c r="A136" s="21"/>
      <c r="B136" s="23"/>
      <c r="C136" s="23"/>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6"/>
      <c r="AG136" s="22"/>
      <c r="AH136" s="70"/>
      <c r="AI136" s="70"/>
      <c r="AJ136" s="70"/>
      <c r="AK136" s="70"/>
      <c r="AL136" s="70"/>
      <c r="AM136" s="70"/>
      <c r="AN136" s="70"/>
      <c r="AO136" s="70"/>
      <c r="AP136" s="70"/>
      <c r="AQ136" s="70"/>
      <c r="AR136" s="70"/>
      <c r="AS136" s="22"/>
      <c r="AT136" s="26"/>
      <c r="AU136" s="22"/>
      <c r="AV136" s="26"/>
      <c r="AW136" s="26"/>
      <c r="AX136" s="26"/>
      <c r="AY136" s="26"/>
      <c r="AZ136" s="26"/>
      <c r="BA136" s="22"/>
      <c r="BB136" s="27"/>
      <c r="BD136" s="28"/>
      <c r="BE136" s="28"/>
      <c r="BF136" s="28"/>
      <c r="BG136" s="28"/>
      <c r="BH136" s="28"/>
      <c r="BI136" s="28"/>
      <c r="BJ136" s="28"/>
      <c r="BK136" s="28"/>
      <c r="BL136" s="28"/>
      <c r="BM136" s="28"/>
      <c r="BN136" s="28"/>
      <c r="BO136" s="28"/>
      <c r="BZ136" s="28"/>
      <c r="CA136" s="28"/>
      <c r="CB136" s="28"/>
      <c r="CC136" s="28"/>
      <c r="CD136" s="28"/>
      <c r="CE136" s="28"/>
      <c r="CF136" s="28"/>
    </row>
    <row r="137" spans="1:84" x14ac:dyDescent="0.2">
      <c r="A137" s="21"/>
      <c r="B137" s="23"/>
      <c r="C137" s="23"/>
      <c r="D137" s="22" t="s">
        <v>70</v>
      </c>
      <c r="E137" s="22"/>
      <c r="F137" s="22"/>
      <c r="G137" s="22"/>
      <c r="H137" s="22"/>
      <c r="I137" s="22"/>
      <c r="J137" s="22"/>
      <c r="K137" s="144"/>
      <c r="L137" s="144"/>
      <c r="M137" s="144"/>
      <c r="N137" s="144"/>
      <c r="O137" s="22" t="s">
        <v>54</v>
      </c>
      <c r="P137" s="22"/>
      <c r="Q137" s="82" t="str">
        <f>IF(OR(K135="",K137=""),"",IFERROR(
IF(AND(Standard="Pre-Developed Pasture Standard",Z135&gt;ROUNDUP(IF(K137=3,IF(K135&lt;=3500,K135*0.106,IF(K135&lt;=5000,408,K135^1.74*0.00015)),IF(K135&lt;=5000,K135*0.064,IF(K135=6000,322,K135^1.73*0.0001))),0)),"Detention cistern can be reduced to "&amp;TEXT(IF(K137=3,IF(K135&lt;=3500,K135*0.106,IF(K135&lt;=5000,408,K135^1.74*0.00015)),IF(K135&lt;=5000,K135*0.064,IF(K135=6000,322,K135^1.73*0.0001))),"#,##0")&amp; " sf. ",
IF(AND(Standard="Pre-Developed Pasture Standard",Z135&lt;ROUNDUP(IF(K137=3,IF(K135&lt;=3500,K135*0.106,IF(K135&lt;=5000,408,K135^1.74*0.00015)),IF(K135&lt;=5000,K135*0.064,IF(K135=6000,322,K135^1.73*0.0001))),0)),"Detention cistern to fully manage area is "&amp;TEXT(IF(K137=3,IF(K135&lt;=3500,K135*0.106,IF(K135&lt;=5000,408,K135^1.74*0.00015)),IF(K135&lt;=5000,K135*0.064,IF(K135=6000,322,K135^1.73*0.0001))),"#,##0")&amp; " sf. ",
IF(AND(Standard="Peak Control Standard",Z135&gt;ROUNDUP(IF(K137=3,IF(K135&lt;=2000,K135*0.059,K135^1.68*0.00036),IF(K135&lt;=2000,K135*0.041,K135^1.63*0.00038)),0)),
"Detention cistern can be reduced to "&amp;TEXT(IF(K137=3,IF(K135&lt;=2000,K135*0.059,K135^1.68*0.00036),IF(K135&lt;=2000,K135*0.041,K135^1.63*0.00038)),"#,##0")&amp;" sf. ",
IF(AND(Standard="Peak Control Standard",Z135&lt;ROUNDUP(IF(K137=3,IF(K135&lt;=2000,K135*0.059,K135^1.68*0.00036),IF(K135&lt;=2000,K135*0.041,K135^1.63*0.00038)),0)),
"Detention cistern to fully manage area is "&amp;TEXT(IF(K137=3,IF(K135&lt;=2000,K135*0.059,K135^1.68*0.00036),IF(K135&lt;=2000,K135*0.041,K135^1.63*0.00038)),"#,##0")&amp;" sf. ",
IF(AND(Standard="Pre-Developed Pasture and Peak Control Standards",Z135&gt;ROUNDUP(IF(K137=3, MAX(IF(K135&lt;=2000,K135*0.059,K135^1.68*0.00036),IF(K135&lt;=3500,K135*0.106,IF(K135&lt;=5000,408,K135^1.74*0.00015))),
MAX(IF(K135&lt;=2000,K135*0.041,K135^1.63*0.00038),IF(K135&lt;=5000,K135*0.064,IF(K135=6000,322,K135^1.73*0.0001)))),0)),
"Detention cistern can be reduced to "&amp;TEXT(IF(K137=3, MAX(IF(K135&lt;=2000,K135*0.059,K135^1.68*0.00036),IF(K135&lt;=3500,K135*0.106,IF(K135&lt;=5000,408,K135^1.74*0.00015))),MAX(IF(K135&lt;=2000,K135*0.041,K135^1.63*0.00038),IF(K135&lt;=5000,K135*0.064,IF(K135=6000,322,K135^1.73*0.0001)))),"#,##0")&amp;" sf. ",
IF(AND(Standard="Pre-Developed Pasture and Peak Control Standards",Z135&lt;ROUNDUP(IF(K137=3, MAX(IF(K135&lt;=2000,K135*0.059,K135^1.68*0.00036),IF(K135&lt;=3500,K135*0.106,IF(K135&lt;=5000,408,K135^1.74*0.00015))),
MAX(IF(K135&lt;=2000,K135*0.041,K135^1.63*0.00038),IF(K135&lt;=5000,K135*0.064,IF(K135=6000,322,K135^1.73*0.0001)))),0)),
"Detention cistern to fully manage area is "&amp;TEXT(IF(K137=3, MAX(IF(K135&lt;=2000,K135*0.059,K135^1.68*0.00036),IF(K135&lt;=3500,K135*0.106,IF(K135&lt;=5000,408,K135^1.74*0.00015))),MAX(IF(K135&lt;=2000,K135*0.041,K135^1.63*0.00038),IF(K135&lt;=5000,K135*0.064,IF(K135=6000,322,K135^1.73*0.0001)))),"#,##0")&amp;" sf. ",""))))))
&amp;IF(OR(K135="",K137="",Standard=""),"","The flow control orifice diameter to fully manage area is 0.25 inches."),""))</f>
        <v/>
      </c>
      <c r="R137" s="22"/>
      <c r="S137" s="22"/>
      <c r="T137" s="22"/>
      <c r="U137" s="22"/>
      <c r="V137" s="22"/>
      <c r="W137" s="22"/>
      <c r="X137" s="22"/>
      <c r="Y137" s="22"/>
      <c r="Z137" s="22"/>
      <c r="AA137" s="22"/>
      <c r="AB137" s="22"/>
      <c r="AC137" s="22"/>
      <c r="AD137" s="22"/>
      <c r="AE137" s="22"/>
      <c r="AF137" s="26"/>
      <c r="AG137" s="22"/>
      <c r="AH137" s="70"/>
      <c r="AI137" s="70"/>
      <c r="AJ137" s="70"/>
      <c r="AK137" s="70"/>
      <c r="AL137" s="70"/>
      <c r="AM137" s="70"/>
      <c r="AN137" s="70"/>
      <c r="AO137" s="70"/>
      <c r="AP137" s="70"/>
      <c r="AQ137" s="70"/>
      <c r="AR137" s="70"/>
      <c r="AS137" s="22"/>
      <c r="AT137" s="26"/>
      <c r="AU137" s="22"/>
      <c r="AV137" s="26"/>
      <c r="AW137" s="26"/>
      <c r="AX137" s="26"/>
      <c r="AY137" s="26"/>
      <c r="AZ137" s="26"/>
      <c r="BA137" s="22"/>
      <c r="BB137" s="27"/>
      <c r="BD137" s="28" t="s">
        <v>9</v>
      </c>
      <c r="BE137" s="59" t="e">
        <f>INDEX('Sizing Factors'!$H:$H,MATCH(C133&amp;K137&amp;IF(K137=3,IF(Z135&lt;=212,"02000",IF(Z135&lt;408,"20003500",IF(Z135=408,"35005000",IF(K135&lt;=10000,"500010000")))),IF(Z135&lt;=322,"02000",IF(Z135=322,"50006000",IF(K135&lt;=10000,"600010000"))))&amp;BD137,'Sizing Factors'!$K:$K,0))</f>
        <v>#N/A</v>
      </c>
      <c r="BF137" s="59" t="e">
        <f>INDEX('Sizing Factors'!$I:$I,MATCH(C133&amp;K137&amp;IF(K137=3,IF(Z135&lt;=212,"02000",IF(Z135&lt;408,"20003500",IF(Z135=408,"35005000",IF(K135&lt;=10000,"500010000")))),IF(Z135&lt;=322,"02000",IF(Z135=322,"50006000",IF(K135&lt;=10000,"600010000"))))&amp;BD137,'Sizing Factors'!$K:$K,0))</f>
        <v>#N/A</v>
      </c>
      <c r="BG137" s="59" t="e">
        <f>IF(BF137=0,BE137*100&amp;"%",IF(BE137=0,BF137&amp;" sf",BE137&amp;" ] ^ (1 / "&amp;BF137&amp;")"))</f>
        <v>#N/A</v>
      </c>
      <c r="BH137" s="60" t="e">
        <f>IF(BE137=0,IF(Z135&gt;=BF137,K135,
MIN(Z135/INDEX('Sizing Factors'!$H:$H,MATCH(C133&amp;K137&amp;"02000"&amp;BD137,'Sizing Factors'!$K:$K,0)),K135)
),IF(BF137=0,Z135/BE137,(Z135/BE137)^(1/BF137)))</f>
        <v>#N/A</v>
      </c>
      <c r="BI137" s="68" t="e">
        <f>IF(K135&gt;10000,"Not applicable for contributing area &gt; 10,000 sf",INDEX('Sizing Factors'!$J:$J,MATCH(C133&amp;K137&amp;IF(K137=3,IF(K135&lt;=2000,"02000",IF(K135&lt;=3500,"20003500",IF(K135&lt;=5000,"35005000",IF(K135&lt;=10000,"500010000")))),IF(K135&lt;=2000,"02000",IF(K135&lt;=5000,"20005000",IF(K135&lt;=6000,"50006000",IF(K135&lt;=10000,"600010000")))))&amp;BD137,'Sizing Factors'!$K:$K,0)))</f>
        <v>#N/A</v>
      </c>
      <c r="BJ137" s="28"/>
      <c r="BK137" s="28"/>
      <c r="BL137" s="28"/>
      <c r="BM137" s="28"/>
      <c r="BN137" s="28"/>
      <c r="BO137" s="28"/>
      <c r="BZ137" s="28"/>
      <c r="CA137" s="28"/>
      <c r="CB137" s="28"/>
      <c r="CC137" s="28"/>
      <c r="CD137" s="28"/>
      <c r="CE137" s="28"/>
      <c r="CF137" s="28"/>
    </row>
    <row r="138" spans="1:84" ht="3.75" customHeight="1" x14ac:dyDescent="0.2">
      <c r="A138" s="6"/>
      <c r="B138" s="14"/>
      <c r="C138" s="14"/>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8"/>
      <c r="BJ138" s="28"/>
      <c r="BK138" s="28"/>
      <c r="BL138" s="28"/>
      <c r="BM138" s="28"/>
      <c r="BN138" s="28"/>
      <c r="BO138" s="28"/>
      <c r="BZ138" s="28"/>
      <c r="CA138" s="28"/>
      <c r="CB138" s="28"/>
      <c r="CC138" s="28"/>
      <c r="CD138" s="28"/>
      <c r="CE138" s="28"/>
      <c r="CF138" s="28"/>
    </row>
    <row r="139" spans="1:84" ht="3.75" customHeight="1" x14ac:dyDescent="0.2">
      <c r="A139" s="3"/>
      <c r="B139" s="30"/>
      <c r="C139" s="30"/>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5"/>
      <c r="BD139" s="28"/>
      <c r="BE139" s="28"/>
      <c r="BF139" s="28"/>
      <c r="BG139" s="28"/>
      <c r="BH139" s="28"/>
      <c r="BI139" s="28"/>
      <c r="BJ139" s="28"/>
      <c r="BK139" s="28"/>
      <c r="BL139" s="28"/>
      <c r="BM139" s="28"/>
      <c r="BN139" s="28"/>
      <c r="BO139" s="28"/>
      <c r="BZ139" s="28"/>
      <c r="CA139" s="28"/>
      <c r="CB139" s="28"/>
      <c r="CC139" s="28"/>
      <c r="CD139" s="28"/>
      <c r="CE139" s="28"/>
      <c r="CF139" s="28"/>
    </row>
    <row r="140" spans="1:84" x14ac:dyDescent="0.2">
      <c r="A140" s="6"/>
      <c r="B140" s="14"/>
      <c r="C140" s="14"/>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14"/>
      <c r="AF140" s="7"/>
      <c r="AG140" s="7"/>
      <c r="AH140" s="15"/>
      <c r="AI140" s="7"/>
      <c r="AJ140" s="7"/>
      <c r="AK140" s="7"/>
      <c r="AL140" s="7"/>
      <c r="AM140" s="7"/>
      <c r="AN140" s="7"/>
      <c r="AO140" s="7"/>
      <c r="AP140" s="7"/>
      <c r="AQ140" s="7"/>
      <c r="AR140" s="7"/>
      <c r="AS140" s="7"/>
      <c r="AT140" s="92" t="s">
        <v>138</v>
      </c>
      <c r="AU140" s="138">
        <f>IFERROR(SUM(AV115,AV123,AV129,AV135),"")</f>
        <v>0</v>
      </c>
      <c r="AV140" s="138"/>
      <c r="AW140" s="138"/>
      <c r="AX140" s="138"/>
      <c r="AY140" s="138"/>
      <c r="AZ140" s="138"/>
      <c r="BA140" s="19" t="s">
        <v>7</v>
      </c>
      <c r="BB140" s="8"/>
      <c r="BD140" s="28" t="s">
        <v>82</v>
      </c>
      <c r="BE140" s="59" t="e">
        <f>INDEX('Sizing Factors'!$H:$H,MATCH(C133&amp;K137&amp;IF(K137=3,IF(Z135&lt;=126,"02000","20003500"),IF(Z135&lt;=91,"02000","20005000"))&amp;BD140,'Sizing Factors'!$K:$K,0))</f>
        <v>#N/A</v>
      </c>
      <c r="BF140" s="59" t="e">
        <f>INDEX('Sizing Factors'!$I:$I,MATCH(C133&amp;K137&amp;IF(K137=3,IF(Z135&lt;=126,"02000","20003500"),IF(Z135&lt;=91,"02000","20005000"))&amp;BD140,'Sizing Factors'!$K:$K,0))</f>
        <v>#N/A</v>
      </c>
      <c r="BG140" s="59" t="e">
        <f>IF(BF140=0,BE140*100&amp;"%",BE140&amp;" ] ^ (1 / "&amp;BF140&amp;")")</f>
        <v>#N/A</v>
      </c>
      <c r="BH140" s="60" t="e">
        <f>IF(BE140=0,IF(Z135&gt;=BF140,K135,0),IF(BF140=0,Z135/BE140,(Z135/BE140)^(1/BF140)))</f>
        <v>#N/A</v>
      </c>
      <c r="BI140" s="68" t="e">
        <f>IF(K135&gt;10000,"Not applicable for contributing area &gt; 10,000 sf",INDEX('Sizing Factors'!$J:$J,MATCH(C133&amp;K137&amp;IF(K137=3,IF(K135&lt;=2000,"02000",IF(K135&lt;=3500,"20003500",IF(K135&lt;=5000,"35005000",IF(K135&lt;=10000,"500010000")))),IF(K135&lt;=2000,"02000",IF(K135&lt;=5000,"20005000",IF(K135&lt;=6000,"50006000",IF(K135&lt;=10000,"600010000")))))&amp;BD140,'Sizing Factors'!$K:$K,0)))</f>
        <v>#N/A</v>
      </c>
      <c r="BJ140" s="28"/>
      <c r="BK140" s="28"/>
      <c r="BL140" s="28"/>
      <c r="BM140" s="28"/>
      <c r="BN140" s="28"/>
      <c r="BO140" s="28"/>
      <c r="BZ140" s="28"/>
      <c r="CA140" s="28"/>
      <c r="CB140" s="28"/>
      <c r="CC140" s="28"/>
      <c r="CD140" s="28"/>
      <c r="CE140" s="28"/>
      <c r="CF140" s="28"/>
    </row>
    <row r="141" spans="1:84" ht="3.75" customHeight="1" x14ac:dyDescent="0.2">
      <c r="A141" s="10"/>
      <c r="B141" s="18"/>
      <c r="C141" s="18"/>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2"/>
      <c r="BD141" s="28"/>
      <c r="BE141" s="28"/>
      <c r="BF141" s="28"/>
      <c r="BG141" s="28"/>
      <c r="BH141" s="28"/>
    </row>
    <row r="142" spans="1:84" ht="3.75" customHeight="1" x14ac:dyDescent="0.2">
      <c r="A142" s="97"/>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9"/>
    </row>
    <row r="143" spans="1:84" x14ac:dyDescent="0.2">
      <c r="A143" s="97"/>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t="s">
        <v>43</v>
      </c>
      <c r="AI143" s="98"/>
      <c r="AJ143" s="98"/>
      <c r="AK143" s="98"/>
      <c r="AL143" s="98"/>
      <c r="AM143" s="98"/>
      <c r="AN143" s="98"/>
      <c r="AO143" s="98"/>
      <c r="AP143" s="98"/>
      <c r="AQ143" s="98"/>
      <c r="AR143" s="98"/>
      <c r="AS143" s="98"/>
      <c r="AT143" s="98"/>
      <c r="AU143" s="139">
        <f>IFERROR(SUM(AU107,AU140),"")</f>
        <v>0</v>
      </c>
      <c r="AV143" s="139"/>
      <c r="AW143" s="139"/>
      <c r="AX143" s="139"/>
      <c r="AY143" s="139"/>
      <c r="AZ143" s="139"/>
      <c r="BA143" s="100" t="s">
        <v>7</v>
      </c>
      <c r="BB143" s="99"/>
    </row>
    <row r="144" spans="1:84" ht="3.75" customHeight="1" x14ac:dyDescent="0.2">
      <c r="A144" s="97"/>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9"/>
    </row>
    <row r="145" spans="1:54" x14ac:dyDescent="0.2">
      <c r="A145" s="97"/>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t="s">
        <v>78</v>
      </c>
      <c r="AI145" s="98"/>
      <c r="AJ145" s="98"/>
      <c r="AK145" s="98"/>
      <c r="AL145" s="98"/>
      <c r="AM145" s="98"/>
      <c r="AN145" s="98"/>
      <c r="AO145" s="98"/>
      <c r="AP145" s="98"/>
      <c r="AQ145" s="98"/>
      <c r="AR145" s="98"/>
      <c r="AS145" s="98"/>
      <c r="AT145" s="98"/>
      <c r="AU145" s="137" t="str">
        <f>IF(AND(AE10&lt;=SUM(AU107,AU140),AE10&lt;=10000,AE10&gt;0),"Yes","No")</f>
        <v>No</v>
      </c>
      <c r="AV145" s="137"/>
      <c r="AW145" s="137"/>
      <c r="AX145" s="137"/>
      <c r="AY145" s="137"/>
      <c r="AZ145" s="137"/>
      <c r="BA145" s="98"/>
      <c r="BB145" s="99"/>
    </row>
    <row r="146" spans="1:54" x14ac:dyDescent="0.2">
      <c r="A146" s="101"/>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3"/>
    </row>
    <row r="147" spans="1:54" x14ac:dyDescent="0.2">
      <c r="A147" s="3" t="s">
        <v>44</v>
      </c>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5"/>
    </row>
    <row r="148" spans="1:54" x14ac:dyDescent="0.2">
      <c r="A148" s="6"/>
      <c r="B148" s="7" t="s">
        <v>152</v>
      </c>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8"/>
    </row>
    <row r="149" spans="1:54" x14ac:dyDescent="0.2">
      <c r="A149" s="6"/>
      <c r="B149" s="7" t="s">
        <v>45</v>
      </c>
      <c r="C149" s="7"/>
      <c r="D149" s="7"/>
      <c r="E149" s="7"/>
      <c r="F149" s="7"/>
      <c r="G149" s="7"/>
      <c r="H149" s="7"/>
      <c r="I149" s="7"/>
      <c r="J149" s="7"/>
      <c r="K149" s="7"/>
      <c r="L149" s="7"/>
      <c r="M149" s="7"/>
      <c r="N149" s="7" t="s">
        <v>46</v>
      </c>
      <c r="O149" s="7"/>
      <c r="P149" s="7"/>
      <c r="Q149" s="7"/>
      <c r="R149" s="7"/>
      <c r="S149" s="7"/>
      <c r="T149" s="7"/>
      <c r="U149" s="7"/>
      <c r="V149" s="7"/>
      <c r="W149" s="7"/>
      <c r="X149" s="7"/>
      <c r="Y149" s="7"/>
      <c r="Z149" s="7"/>
      <c r="AA149" s="7"/>
      <c r="AB149" s="7"/>
      <c r="AC149" s="7" t="s">
        <v>47</v>
      </c>
      <c r="AD149" s="7"/>
      <c r="AE149" s="7"/>
      <c r="AF149" s="7"/>
      <c r="AG149" s="7"/>
      <c r="AH149" s="7"/>
      <c r="AI149" s="7"/>
      <c r="AJ149" s="7"/>
      <c r="AK149" s="7"/>
      <c r="AL149" s="7"/>
      <c r="AM149" s="7"/>
      <c r="AN149" s="7"/>
      <c r="AO149" s="7"/>
      <c r="AP149" s="7" t="s">
        <v>48</v>
      </c>
      <c r="AQ149" s="7"/>
      <c r="AR149" s="7"/>
      <c r="AS149" s="7"/>
      <c r="AT149" s="7"/>
      <c r="AU149" s="7"/>
      <c r="AV149" s="7"/>
      <c r="AW149" s="7"/>
      <c r="AX149" s="7"/>
      <c r="AY149" s="7"/>
      <c r="AZ149" s="7"/>
      <c r="BA149" s="7"/>
      <c r="BB149" s="8"/>
    </row>
    <row r="150" spans="1:54" x14ac:dyDescent="0.2">
      <c r="A150" s="6"/>
      <c r="B150" s="7" t="s">
        <v>58</v>
      </c>
      <c r="C150" s="7"/>
      <c r="D150" s="7"/>
      <c r="E150" s="7"/>
      <c r="F150" s="7"/>
      <c r="G150" s="7"/>
      <c r="H150" s="7"/>
      <c r="I150" s="7"/>
      <c r="J150" s="7"/>
      <c r="K150" s="7"/>
      <c r="L150" s="7"/>
      <c r="M150" s="7"/>
      <c r="N150" s="7" t="s">
        <v>73</v>
      </c>
      <c r="O150" s="7"/>
      <c r="P150" s="7"/>
      <c r="Q150" s="7"/>
      <c r="R150" s="7"/>
      <c r="S150" s="7"/>
      <c r="T150" s="7"/>
      <c r="U150" s="7"/>
      <c r="V150" s="7"/>
      <c r="W150" s="7"/>
      <c r="X150" s="7"/>
      <c r="Y150" s="7"/>
      <c r="Z150" s="7"/>
      <c r="AA150" s="7"/>
      <c r="AB150" s="7"/>
      <c r="AC150" s="7" t="s">
        <v>118</v>
      </c>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8"/>
    </row>
    <row r="151" spans="1:54" ht="3.75" customHeight="1" x14ac:dyDescent="0.2">
      <c r="A151" s="10"/>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2"/>
    </row>
  </sheetData>
  <sheetProtection algorithmName="SHA-512" hashValue="BFNhsP27IKZcxZqz/4qOnufuLiFLieRSRnBkeLgoFc4kq+qBbgoNh/yQSPzTijcBMy5TSByPNgFyUpp+Fb62gg==" saltValue="4qIQEeY1JHx7LVSPNH9Okw==" spinCount="100000" sheet="1" objects="1" scenarios="1" selectLockedCells="1"/>
  <dataConsolidate/>
  <mergeCells count="122">
    <mergeCell ref="K100:N100"/>
    <mergeCell ref="Z100:AC100"/>
    <mergeCell ref="AH18:AT18"/>
    <mergeCell ref="AH20:AT20"/>
    <mergeCell ref="AH26:AT26"/>
    <mergeCell ref="AH24:AT24"/>
    <mergeCell ref="AH28:AR28"/>
    <mergeCell ref="Q46:AZ46"/>
    <mergeCell ref="Q64:BA64"/>
    <mergeCell ref="AH92:AR92"/>
    <mergeCell ref="AH68:AR70"/>
    <mergeCell ref="AH86:AR86"/>
    <mergeCell ref="AV86:AZ86"/>
    <mergeCell ref="AV100:AZ100"/>
    <mergeCell ref="AV88:AZ88"/>
    <mergeCell ref="AV92:AZ92"/>
    <mergeCell ref="AV74:AZ74"/>
    <mergeCell ref="AH74:AR74"/>
    <mergeCell ref="AV38:BA38"/>
    <mergeCell ref="Z92:AC92"/>
    <mergeCell ref="Z70:AC70"/>
    <mergeCell ref="Q72:AD74"/>
    <mergeCell ref="AV70:AZ70"/>
    <mergeCell ref="K137:N137"/>
    <mergeCell ref="K129:N129"/>
    <mergeCell ref="Z129:AC129"/>
    <mergeCell ref="K123:N123"/>
    <mergeCell ref="Z123:AC123"/>
    <mergeCell ref="K135:N135"/>
    <mergeCell ref="Z135:AC135"/>
    <mergeCell ref="K44:N44"/>
    <mergeCell ref="K46:N46"/>
    <mergeCell ref="K50:N50"/>
    <mergeCell ref="K48:N48"/>
    <mergeCell ref="K56:N56"/>
    <mergeCell ref="K54:N54"/>
    <mergeCell ref="K58:N58"/>
    <mergeCell ref="Z86:AC86"/>
    <mergeCell ref="K104:N104"/>
    <mergeCell ref="K70:N70"/>
    <mergeCell ref="K102:N102"/>
    <mergeCell ref="K62:N62"/>
    <mergeCell ref="K66:N66"/>
    <mergeCell ref="Z62:AC62"/>
    <mergeCell ref="K64:N64"/>
    <mergeCell ref="K74:N74"/>
    <mergeCell ref="K72:N72"/>
    <mergeCell ref="K115:N115"/>
    <mergeCell ref="Z115:AC115"/>
    <mergeCell ref="K125:N125"/>
    <mergeCell ref="K131:N131"/>
    <mergeCell ref="AV135:AZ135"/>
    <mergeCell ref="K117:N117"/>
    <mergeCell ref="AH121:AR123"/>
    <mergeCell ref="AH133:AR135"/>
    <mergeCell ref="AV129:AZ129"/>
    <mergeCell ref="AH113:AR115"/>
    <mergeCell ref="AV123:AZ123"/>
    <mergeCell ref="AV115:AZ115"/>
    <mergeCell ref="AU145:AZ145"/>
    <mergeCell ref="Z20:AC20"/>
    <mergeCell ref="AU107:AZ107"/>
    <mergeCell ref="AU140:AZ140"/>
    <mergeCell ref="Z36:AC36"/>
    <mergeCell ref="AV36:AZ36"/>
    <mergeCell ref="Z24:AC24"/>
    <mergeCell ref="AH36:AR36"/>
    <mergeCell ref="AV44:AZ44"/>
    <mergeCell ref="Z26:AC26"/>
    <mergeCell ref="AU143:AZ143"/>
    <mergeCell ref="Z44:AC44"/>
    <mergeCell ref="Z88:AC88"/>
    <mergeCell ref="AH88:AR88"/>
    <mergeCell ref="AH96:AR100"/>
    <mergeCell ref="AV78:AZ78"/>
    <mergeCell ref="AV62:AZ62"/>
    <mergeCell ref="Z58:AC58"/>
    <mergeCell ref="AH60:AR62"/>
    <mergeCell ref="C33:BA33"/>
    <mergeCell ref="Q117:BA119"/>
    <mergeCell ref="AH127:AR129"/>
    <mergeCell ref="Q125:BA125"/>
    <mergeCell ref="Q109:AD109"/>
    <mergeCell ref="A1:BB1"/>
    <mergeCell ref="Z18:AC18"/>
    <mergeCell ref="N18:Q18"/>
    <mergeCell ref="N20:Q20"/>
    <mergeCell ref="L18:M18"/>
    <mergeCell ref="L20:M20"/>
    <mergeCell ref="AV54:AZ54"/>
    <mergeCell ref="Z54:AC54"/>
    <mergeCell ref="AH52:AR54"/>
    <mergeCell ref="AV28:AZ28"/>
    <mergeCell ref="Z32:AC32"/>
    <mergeCell ref="AH32:AR32"/>
    <mergeCell ref="AV32:AZ32"/>
    <mergeCell ref="A2:G2"/>
    <mergeCell ref="H2:AU2"/>
    <mergeCell ref="C27:BA27"/>
    <mergeCell ref="AE4:BA4"/>
    <mergeCell ref="AE6:BA6"/>
    <mergeCell ref="AE8:AL8"/>
    <mergeCell ref="AE10:AL10"/>
    <mergeCell ref="AE12:AL12"/>
    <mergeCell ref="AH41:AR44"/>
    <mergeCell ref="AH109:AR109"/>
    <mergeCell ref="AV109:BA109"/>
    <mergeCell ref="Q94:AD94"/>
    <mergeCell ref="AH94:AR94"/>
    <mergeCell ref="AV94:BA94"/>
    <mergeCell ref="Q80:AD80"/>
    <mergeCell ref="AH80:AR80"/>
    <mergeCell ref="AV80:BA80"/>
    <mergeCell ref="Q102:BA105"/>
    <mergeCell ref="AN7:BA13"/>
    <mergeCell ref="T14:AD14"/>
    <mergeCell ref="Q38:AD38"/>
    <mergeCell ref="AH38:AR38"/>
    <mergeCell ref="AH14:AR14"/>
    <mergeCell ref="AV14:BA14"/>
    <mergeCell ref="Z56:AC56"/>
    <mergeCell ref="AH56:AZ58"/>
  </mergeCells>
  <conditionalFormatting sqref="AE10">
    <cfRule type="cellIs" dxfId="0" priority="2" operator="greaterThan">
      <formula>10000</formula>
    </cfRule>
  </conditionalFormatting>
  <dataValidations count="13">
    <dataValidation type="list" allowBlank="1" showInputMessage="1" showErrorMessage="1" sqref="AE8">
      <formula1>YesNo</formula1>
    </dataValidation>
    <dataValidation type="list" allowBlank="1" showInputMessage="1" showErrorMessage="1" sqref="AE4">
      <formula1>Project</formula1>
    </dataValidation>
    <dataValidation type="list" allowBlank="1" showInputMessage="1" showErrorMessage="1" sqref="AE6">
      <formula1>FCStandard</formula1>
    </dataValidation>
    <dataValidation type="list" allowBlank="1" showInputMessage="1" showErrorMessage="1" sqref="K50:N50 K104:N104">
      <formula1>Sideslopes</formula1>
    </dataValidation>
    <dataValidation type="list" allowBlank="1" showInputMessage="1" showErrorMessage="1" sqref="K46:N46">
      <formula1>IF($K$50="Vertical",PondingVert,Ponding)</formula1>
    </dataValidation>
    <dataValidation type="list" allowBlank="1" showInputMessage="1" showErrorMessage="1" sqref="K48:N48 K74:N74 K117:N117">
      <formula1>InfRate</formula1>
    </dataValidation>
    <dataValidation type="list" allowBlank="1" showInputMessage="1" showErrorMessage="1" sqref="K58:N58 K66:N66">
      <formula1>InfRateLarge</formula1>
    </dataValidation>
    <dataValidation type="list" allowBlank="1" showInputMessage="1" showErrorMessage="1" sqref="K56:N56">
      <formula1>InfTrenchDepth</formula1>
    </dataValidation>
    <dataValidation type="list" allowBlank="1" showInputMessage="1" showErrorMessage="1" sqref="K64:N64">
      <formula1>DrywellDepth</formula1>
    </dataValidation>
    <dataValidation type="list" allowBlank="1" showInputMessage="1" showErrorMessage="1" sqref="K72:N72">
      <formula1>PondingVert</formula1>
    </dataValidation>
    <dataValidation type="list" allowBlank="1" showInputMessage="1" showErrorMessage="1" sqref="K102:N102">
      <formula1>IF($K$104="Vertical",PondingVert,Ponding)</formula1>
    </dataValidation>
    <dataValidation type="list" allowBlank="1" showInputMessage="1" showErrorMessage="1" sqref="K125:N125">
      <formula1>PipeDiameter</formula1>
    </dataValidation>
    <dataValidation type="list" allowBlank="1" showInputMessage="1" showErrorMessage="1" sqref="K131:N131 K137:N137">
      <formula1>VaultDepth</formula1>
    </dataValidation>
  </dataValidations>
  <pageMargins left="0.7" right="0.7" top="0.75" bottom="0.75" header="0.3" footer="0.3"/>
  <pageSetup paperSize="1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B2" sqref="B2"/>
    </sheetView>
  </sheetViews>
  <sheetFormatPr defaultRowHeight="15" x14ac:dyDescent="0.25"/>
  <cols>
    <col min="3" max="3" width="52.140625" bestFit="1" customWidth="1"/>
  </cols>
  <sheetData>
    <row r="1" spans="1:10" x14ac:dyDescent="0.25">
      <c r="A1" t="s">
        <v>4</v>
      </c>
      <c r="B1" t="s">
        <v>0</v>
      </c>
      <c r="C1" t="s">
        <v>10</v>
      </c>
      <c r="D1" t="s">
        <v>64</v>
      </c>
      <c r="E1" t="s">
        <v>24</v>
      </c>
      <c r="F1" t="s">
        <v>88</v>
      </c>
      <c r="G1" t="s">
        <v>94</v>
      </c>
      <c r="H1" t="s">
        <v>99</v>
      </c>
      <c r="I1" t="s">
        <v>111</v>
      </c>
      <c r="J1" t="s">
        <v>113</v>
      </c>
    </row>
    <row r="2" spans="1:10" x14ac:dyDescent="0.25">
      <c r="A2" t="s">
        <v>6</v>
      </c>
      <c r="B2" t="s">
        <v>8</v>
      </c>
      <c r="C2" t="s">
        <v>9</v>
      </c>
      <c r="D2" t="s">
        <v>65</v>
      </c>
      <c r="E2">
        <v>2</v>
      </c>
      <c r="F2">
        <v>0.15</v>
      </c>
      <c r="G2">
        <v>1.5</v>
      </c>
      <c r="H2">
        <v>4</v>
      </c>
      <c r="I2">
        <v>24</v>
      </c>
      <c r="J2">
        <v>3</v>
      </c>
    </row>
    <row r="3" spans="1:10" x14ac:dyDescent="0.25">
      <c r="A3" t="s">
        <v>5</v>
      </c>
      <c r="C3" t="s">
        <v>82</v>
      </c>
      <c r="D3" t="s">
        <v>66</v>
      </c>
      <c r="E3">
        <v>6</v>
      </c>
      <c r="F3">
        <v>0.3</v>
      </c>
      <c r="G3">
        <v>3</v>
      </c>
      <c r="H3">
        <v>6</v>
      </c>
      <c r="I3">
        <v>36</v>
      </c>
      <c r="J3">
        <v>4</v>
      </c>
    </row>
    <row r="4" spans="1:10" x14ac:dyDescent="0.25">
      <c r="C4" t="s">
        <v>144</v>
      </c>
      <c r="E4">
        <v>12</v>
      </c>
      <c r="F4">
        <v>0.6</v>
      </c>
    </row>
    <row r="5" spans="1:10" x14ac:dyDescent="0.25">
      <c r="F5">
        <v>1</v>
      </c>
    </row>
    <row r="6" spans="1:10" x14ac:dyDescent="0.25">
      <c r="F6">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8"/>
  <sheetViews>
    <sheetView topLeftCell="A194" zoomScale="70" zoomScaleNormal="70" workbookViewId="0">
      <selection activeCell="J241" sqref="J241"/>
    </sheetView>
  </sheetViews>
  <sheetFormatPr defaultRowHeight="15" x14ac:dyDescent="0.25"/>
  <cols>
    <col min="1" max="1" width="35.140625" style="35" customWidth="1"/>
    <col min="2" max="2" width="23.42578125" style="35" customWidth="1"/>
    <col min="3" max="3" width="23.7109375" style="35" customWidth="1"/>
    <col min="4" max="4" width="19" style="35" customWidth="1"/>
    <col min="5" max="5" width="20.42578125" style="36" bestFit="1" customWidth="1"/>
    <col min="6" max="6" width="20.42578125" style="36" customWidth="1"/>
    <col min="7" max="7" width="32" style="35" bestFit="1" customWidth="1"/>
    <col min="8" max="9" width="13.5703125" style="42" customWidth="1"/>
    <col min="10" max="10" width="15.85546875" style="35" customWidth="1"/>
    <col min="11" max="11" width="89.140625" style="35" bestFit="1" customWidth="1"/>
    <col min="12" max="16384" width="9.140625" style="37"/>
  </cols>
  <sheetData>
    <row r="1" spans="1:12" x14ac:dyDescent="0.25">
      <c r="A1" s="73" t="s">
        <v>121</v>
      </c>
      <c r="B1" s="53"/>
      <c r="C1" s="53"/>
      <c r="D1" s="53"/>
      <c r="E1" s="47"/>
      <c r="F1" s="47"/>
      <c r="G1" s="53"/>
      <c r="H1" s="49"/>
      <c r="I1" s="49"/>
      <c r="J1" s="53"/>
      <c r="K1" s="53"/>
    </row>
    <row r="2" spans="1:12" ht="45" x14ac:dyDescent="0.25">
      <c r="A2" s="56" t="s">
        <v>79</v>
      </c>
      <c r="B2" s="56" t="s">
        <v>64</v>
      </c>
      <c r="C2" s="56" t="s">
        <v>96</v>
      </c>
      <c r="D2" s="56" t="s">
        <v>80</v>
      </c>
      <c r="E2" s="71" t="s">
        <v>134</v>
      </c>
      <c r="F2" s="71" t="s">
        <v>135</v>
      </c>
      <c r="G2" s="56" t="s">
        <v>90</v>
      </c>
      <c r="H2" s="56" t="s">
        <v>84</v>
      </c>
      <c r="I2" s="56" t="s">
        <v>85</v>
      </c>
      <c r="J2" s="56" t="s">
        <v>87</v>
      </c>
      <c r="K2" s="56" t="s">
        <v>91</v>
      </c>
    </row>
    <row r="3" spans="1:12" x14ac:dyDescent="0.25">
      <c r="A3" s="34" t="s">
        <v>140</v>
      </c>
      <c r="B3" s="34" t="s">
        <v>66</v>
      </c>
      <c r="C3" s="32">
        <v>2</v>
      </c>
      <c r="D3" s="32">
        <v>0.15</v>
      </c>
      <c r="E3" s="31">
        <v>0</v>
      </c>
      <c r="F3" s="31">
        <v>2000</v>
      </c>
      <c r="G3" s="31" t="s">
        <v>9</v>
      </c>
      <c r="H3" s="40">
        <v>0.378</v>
      </c>
      <c r="I3" s="38">
        <v>0</v>
      </c>
      <c r="K3" s="35" t="str">
        <f>A3&amp;B3&amp;C3&amp;D3&amp;E3&amp;F3&amp;G3</f>
        <v>Bioretention without Underdrain2.5H:1V20.1502000Pre-developed Pasture Standard</v>
      </c>
      <c r="L3" s="37" t="s">
        <v>93</v>
      </c>
    </row>
    <row r="4" spans="1:12" x14ac:dyDescent="0.25">
      <c r="A4" s="34" t="s">
        <v>140</v>
      </c>
      <c r="B4" s="34" t="s">
        <v>66</v>
      </c>
      <c r="C4" s="32">
        <v>2</v>
      </c>
      <c r="D4" s="32">
        <v>0.15</v>
      </c>
      <c r="E4" s="31">
        <v>2000</v>
      </c>
      <c r="F4" s="31">
        <v>10000</v>
      </c>
      <c r="G4" s="31" t="s">
        <v>9</v>
      </c>
      <c r="H4" s="40">
        <v>0.2132</v>
      </c>
      <c r="I4" s="38">
        <v>325.2</v>
      </c>
      <c r="K4" s="35" t="str">
        <f t="shared" ref="K4:K87" si="0">A4&amp;B4&amp;C4&amp;D4&amp;E4&amp;F4&amp;G4</f>
        <v>Bioretention without Underdrain2.5H:1V20.15200010000Pre-developed Pasture Standard</v>
      </c>
      <c r="L4" s="37" t="s">
        <v>93</v>
      </c>
    </row>
    <row r="5" spans="1:12" x14ac:dyDescent="0.25">
      <c r="A5" s="34" t="s">
        <v>140</v>
      </c>
      <c r="B5" s="34" t="s">
        <v>66</v>
      </c>
      <c r="C5" s="32">
        <v>2</v>
      </c>
      <c r="D5" s="32">
        <v>0.3</v>
      </c>
      <c r="E5" s="31">
        <v>0</v>
      </c>
      <c r="F5" s="31">
        <v>2000</v>
      </c>
      <c r="G5" s="31" t="s">
        <v>9</v>
      </c>
      <c r="H5" s="40">
        <v>0.29699999999999999</v>
      </c>
      <c r="I5" s="38">
        <v>0</v>
      </c>
      <c r="K5" s="35" t="str">
        <f t="shared" si="0"/>
        <v>Bioretention without Underdrain2.5H:1V20.302000Pre-developed Pasture Standard</v>
      </c>
      <c r="L5" s="37" t="s">
        <v>93</v>
      </c>
    </row>
    <row r="6" spans="1:12" x14ac:dyDescent="0.25">
      <c r="A6" s="34" t="s">
        <v>140</v>
      </c>
      <c r="B6" s="34" t="s">
        <v>66</v>
      </c>
      <c r="C6" s="32">
        <v>2</v>
      </c>
      <c r="D6" s="32">
        <v>0.3</v>
      </c>
      <c r="E6" s="31">
        <v>2000</v>
      </c>
      <c r="F6" s="31">
        <v>10000</v>
      </c>
      <c r="G6" s="31" t="s">
        <v>9</v>
      </c>
      <c r="H6" s="40">
        <v>0.17269999999999999</v>
      </c>
      <c r="I6" s="39">
        <v>246.6</v>
      </c>
      <c r="K6" s="35" t="str">
        <f t="shared" si="0"/>
        <v>Bioretention without Underdrain2.5H:1V20.3200010000Pre-developed Pasture Standard</v>
      </c>
      <c r="L6" s="37" t="s">
        <v>93</v>
      </c>
    </row>
    <row r="7" spans="1:12" x14ac:dyDescent="0.25">
      <c r="A7" s="34" t="s">
        <v>140</v>
      </c>
      <c r="B7" s="34" t="s">
        <v>66</v>
      </c>
      <c r="C7" s="32">
        <v>2</v>
      </c>
      <c r="D7" s="32">
        <v>0.6</v>
      </c>
      <c r="E7" s="31">
        <v>0</v>
      </c>
      <c r="F7" s="31">
        <v>2000</v>
      </c>
      <c r="G7" s="31" t="s">
        <v>9</v>
      </c>
      <c r="H7" s="40">
        <v>0.13600000000000001</v>
      </c>
      <c r="I7" s="39">
        <v>0</v>
      </c>
      <c r="K7" s="35" t="str">
        <f t="shared" si="0"/>
        <v>Bioretention without Underdrain2.5H:1V20.602000Pre-developed Pasture Standard</v>
      </c>
      <c r="L7" s="37" t="s">
        <v>93</v>
      </c>
    </row>
    <row r="8" spans="1:12" x14ac:dyDescent="0.25">
      <c r="A8" s="34" t="s">
        <v>140</v>
      </c>
      <c r="B8" s="34" t="s">
        <v>66</v>
      </c>
      <c r="C8" s="32">
        <v>2</v>
      </c>
      <c r="D8" s="32">
        <v>0.6</v>
      </c>
      <c r="E8" s="31">
        <v>2000</v>
      </c>
      <c r="F8" s="31">
        <v>10000</v>
      </c>
      <c r="G8" s="31" t="s">
        <v>9</v>
      </c>
      <c r="H8" s="40">
        <v>9.1600000000000001E-2</v>
      </c>
      <c r="I8" s="39">
        <v>89.3</v>
      </c>
      <c r="K8" s="35" t="str">
        <f t="shared" si="0"/>
        <v>Bioretention without Underdrain2.5H:1V20.6200010000Pre-developed Pasture Standard</v>
      </c>
      <c r="L8" s="37" t="s">
        <v>93</v>
      </c>
    </row>
    <row r="9" spans="1:12" x14ac:dyDescent="0.25">
      <c r="A9" s="34" t="s">
        <v>140</v>
      </c>
      <c r="B9" s="34" t="s">
        <v>66</v>
      </c>
      <c r="C9" s="32">
        <v>2</v>
      </c>
      <c r="D9" s="32">
        <v>1</v>
      </c>
      <c r="E9" s="31">
        <v>0</v>
      </c>
      <c r="F9" s="31">
        <v>2000</v>
      </c>
      <c r="G9" s="31" t="s">
        <v>9</v>
      </c>
      <c r="H9" s="40">
        <v>0.11700000000000001</v>
      </c>
      <c r="I9" s="39">
        <v>0</v>
      </c>
      <c r="K9" s="35" t="str">
        <f t="shared" si="0"/>
        <v>Bioretention without Underdrain2.5H:1V2102000Pre-developed Pasture Standard</v>
      </c>
      <c r="L9" s="37" t="s">
        <v>93</v>
      </c>
    </row>
    <row r="10" spans="1:12" x14ac:dyDescent="0.25">
      <c r="A10" s="34" t="s">
        <v>140</v>
      </c>
      <c r="B10" s="34" t="s">
        <v>66</v>
      </c>
      <c r="C10" s="32">
        <v>2</v>
      </c>
      <c r="D10" s="32">
        <v>1</v>
      </c>
      <c r="E10" s="31">
        <v>2000</v>
      </c>
      <c r="F10" s="31">
        <v>10000</v>
      </c>
      <c r="G10" s="31" t="s">
        <v>9</v>
      </c>
      <c r="H10" s="40">
        <v>7.8600000000000003E-2</v>
      </c>
      <c r="I10" s="39">
        <v>76.099999999999994</v>
      </c>
      <c r="K10" s="35" t="str">
        <f t="shared" si="0"/>
        <v>Bioretention without Underdrain2.5H:1V21200010000Pre-developed Pasture Standard</v>
      </c>
      <c r="L10" s="37" t="s">
        <v>93</v>
      </c>
    </row>
    <row r="11" spans="1:12" x14ac:dyDescent="0.25">
      <c r="A11" s="34" t="s">
        <v>140</v>
      </c>
      <c r="B11" s="34" t="s">
        <v>66</v>
      </c>
      <c r="C11" s="32">
        <v>2</v>
      </c>
      <c r="D11" s="33">
        <v>2.5</v>
      </c>
      <c r="E11" s="31">
        <v>0</v>
      </c>
      <c r="F11" s="31">
        <v>2000</v>
      </c>
      <c r="G11" s="31" t="s">
        <v>9</v>
      </c>
      <c r="H11" s="40">
        <v>4.2999999999999997E-2</v>
      </c>
      <c r="I11" s="39">
        <v>0</v>
      </c>
      <c r="K11" s="35" t="str">
        <f t="shared" si="0"/>
        <v>Bioretention without Underdrain2.5H:1V22.502000Pre-developed Pasture Standard</v>
      </c>
      <c r="L11" s="37" t="s">
        <v>93</v>
      </c>
    </row>
    <row r="12" spans="1:12" x14ac:dyDescent="0.25">
      <c r="A12" s="45" t="s">
        <v>140</v>
      </c>
      <c r="B12" s="45" t="s">
        <v>66</v>
      </c>
      <c r="C12" s="51">
        <v>2</v>
      </c>
      <c r="D12" s="46">
        <v>2.5</v>
      </c>
      <c r="E12" s="48">
        <v>2000</v>
      </c>
      <c r="F12" s="48">
        <v>10000</v>
      </c>
      <c r="G12" s="48" t="s">
        <v>9</v>
      </c>
      <c r="H12" s="54">
        <v>3.0099999999999998E-2</v>
      </c>
      <c r="I12" s="55">
        <v>26.2</v>
      </c>
      <c r="J12" s="53"/>
      <c r="K12" s="53" t="str">
        <f t="shared" si="0"/>
        <v>Bioretention without Underdrain2.5H:1V22.5200010000Pre-developed Pasture Standard</v>
      </c>
      <c r="L12" s="37" t="s">
        <v>93</v>
      </c>
    </row>
    <row r="13" spans="1:12" x14ac:dyDescent="0.25">
      <c r="A13" s="34" t="s">
        <v>140</v>
      </c>
      <c r="B13" s="34" t="s">
        <v>66</v>
      </c>
      <c r="C13" s="32">
        <v>2</v>
      </c>
      <c r="D13" s="32">
        <v>0.15</v>
      </c>
      <c r="E13" s="31"/>
      <c r="F13" s="31"/>
      <c r="G13" s="31" t="s">
        <v>82</v>
      </c>
      <c r="H13" s="41" t="s">
        <v>81</v>
      </c>
      <c r="J13" s="35" t="s">
        <v>132</v>
      </c>
      <c r="K13" s="35" t="str">
        <f t="shared" si="0"/>
        <v>Bioretention without Underdrain2.5H:1V20.15Peak Control Standard</v>
      </c>
      <c r="L13" s="37" t="s">
        <v>93</v>
      </c>
    </row>
    <row r="14" spans="1:12" x14ac:dyDescent="0.25">
      <c r="A14" s="34" t="s">
        <v>140</v>
      </c>
      <c r="B14" s="34" t="s">
        <v>66</v>
      </c>
      <c r="C14" s="32">
        <v>2</v>
      </c>
      <c r="D14" s="32">
        <v>0.3</v>
      </c>
      <c r="E14" s="31"/>
      <c r="F14" s="31"/>
      <c r="G14" s="31" t="s">
        <v>82</v>
      </c>
      <c r="H14" s="41" t="s">
        <v>81</v>
      </c>
      <c r="J14" s="35" t="s">
        <v>132</v>
      </c>
      <c r="K14" s="35" t="str">
        <f t="shared" si="0"/>
        <v>Bioretention without Underdrain2.5H:1V20.3Peak Control Standard</v>
      </c>
      <c r="L14" s="37" t="s">
        <v>93</v>
      </c>
    </row>
    <row r="15" spans="1:12" x14ac:dyDescent="0.25">
      <c r="A15" s="34" t="s">
        <v>140</v>
      </c>
      <c r="B15" s="34" t="s">
        <v>66</v>
      </c>
      <c r="C15" s="32">
        <v>2</v>
      </c>
      <c r="D15" s="32">
        <v>0.6</v>
      </c>
      <c r="E15" s="31"/>
      <c r="F15" s="31"/>
      <c r="G15" s="31" t="s">
        <v>82</v>
      </c>
      <c r="H15" s="41" t="s">
        <v>81</v>
      </c>
      <c r="J15" s="35" t="s">
        <v>132</v>
      </c>
      <c r="K15" s="35" t="str">
        <f t="shared" si="0"/>
        <v>Bioretention without Underdrain2.5H:1V20.6Peak Control Standard</v>
      </c>
      <c r="L15" s="37" t="s">
        <v>93</v>
      </c>
    </row>
    <row r="16" spans="1:12" x14ac:dyDescent="0.25">
      <c r="A16" s="34" t="s">
        <v>140</v>
      </c>
      <c r="B16" s="34" t="s">
        <v>66</v>
      </c>
      <c r="C16" s="32">
        <v>2</v>
      </c>
      <c r="D16" s="32">
        <v>1</v>
      </c>
      <c r="E16" s="31"/>
      <c r="F16" s="31"/>
      <c r="G16" s="31" t="s">
        <v>82</v>
      </c>
      <c r="H16" s="41" t="s">
        <v>81</v>
      </c>
      <c r="J16" s="35" t="s">
        <v>132</v>
      </c>
      <c r="K16" s="35" t="str">
        <f t="shared" si="0"/>
        <v>Bioretention without Underdrain2.5H:1V21Peak Control Standard</v>
      </c>
      <c r="L16" s="37" t="s">
        <v>93</v>
      </c>
    </row>
    <row r="17" spans="1:12" x14ac:dyDescent="0.25">
      <c r="A17" s="45" t="s">
        <v>140</v>
      </c>
      <c r="B17" s="45" t="s">
        <v>66</v>
      </c>
      <c r="C17" s="51">
        <v>2</v>
      </c>
      <c r="D17" s="46">
        <v>2.5</v>
      </c>
      <c r="E17" s="48"/>
      <c r="F17" s="48"/>
      <c r="G17" s="48" t="s">
        <v>82</v>
      </c>
      <c r="H17" s="52" t="s">
        <v>81</v>
      </c>
      <c r="I17" s="49"/>
      <c r="J17" s="53" t="s">
        <v>132</v>
      </c>
      <c r="K17" s="53" t="str">
        <f t="shared" si="0"/>
        <v>Bioretention without Underdrain2.5H:1V22.5Peak Control Standard</v>
      </c>
      <c r="L17" s="37" t="s">
        <v>93</v>
      </c>
    </row>
    <row r="18" spans="1:12" x14ac:dyDescent="0.25">
      <c r="A18" s="34" t="s">
        <v>140</v>
      </c>
      <c r="B18" s="34" t="s">
        <v>66</v>
      </c>
      <c r="C18" s="32">
        <v>2</v>
      </c>
      <c r="D18" s="32">
        <v>0.15</v>
      </c>
      <c r="E18" s="31"/>
      <c r="F18" s="31"/>
      <c r="G18" s="31" t="s">
        <v>83</v>
      </c>
      <c r="H18" s="42">
        <v>0.10299999999999999</v>
      </c>
      <c r="I18" s="42">
        <v>0</v>
      </c>
      <c r="K18" s="35" t="str">
        <f t="shared" si="0"/>
        <v>Bioretention without Underdrain2.5H:1V20.15Water Quality Treatment</v>
      </c>
      <c r="L18" s="37" t="s">
        <v>93</v>
      </c>
    </row>
    <row r="19" spans="1:12" x14ac:dyDescent="0.25">
      <c r="A19" s="34" t="s">
        <v>140</v>
      </c>
      <c r="B19" s="34" t="s">
        <v>66</v>
      </c>
      <c r="C19" s="32">
        <v>2</v>
      </c>
      <c r="D19" s="32">
        <v>0.3</v>
      </c>
      <c r="E19" s="31"/>
      <c r="F19" s="31"/>
      <c r="G19" s="31" t="s">
        <v>83</v>
      </c>
      <c r="H19" s="42">
        <v>8.4000000000000005E-2</v>
      </c>
      <c r="I19" s="42">
        <v>0</v>
      </c>
      <c r="K19" s="35" t="str">
        <f t="shared" si="0"/>
        <v>Bioretention without Underdrain2.5H:1V20.3Water Quality Treatment</v>
      </c>
      <c r="L19" s="37" t="s">
        <v>93</v>
      </c>
    </row>
    <row r="20" spans="1:12" x14ac:dyDescent="0.25">
      <c r="A20" s="34" t="s">
        <v>140</v>
      </c>
      <c r="B20" s="34" t="s">
        <v>66</v>
      </c>
      <c r="C20" s="32">
        <v>2</v>
      </c>
      <c r="D20" s="32">
        <v>0.6</v>
      </c>
      <c r="E20" s="31"/>
      <c r="F20" s="31"/>
      <c r="G20" s="31" t="s">
        <v>83</v>
      </c>
      <c r="H20" s="42">
        <v>4.3999999999999997E-2</v>
      </c>
      <c r="I20" s="42">
        <v>0</v>
      </c>
      <c r="K20" s="35" t="str">
        <f t="shared" si="0"/>
        <v>Bioretention without Underdrain2.5H:1V20.6Water Quality Treatment</v>
      </c>
      <c r="L20" s="37" t="s">
        <v>93</v>
      </c>
    </row>
    <row r="21" spans="1:12" x14ac:dyDescent="0.25">
      <c r="A21" s="34" t="s">
        <v>140</v>
      </c>
      <c r="B21" s="34" t="s">
        <v>66</v>
      </c>
      <c r="C21" s="32">
        <v>2</v>
      </c>
      <c r="D21" s="32">
        <v>1</v>
      </c>
      <c r="E21" s="31"/>
      <c r="F21" s="31"/>
      <c r="G21" s="31" t="s">
        <v>83</v>
      </c>
      <c r="H21" s="42">
        <v>3.7999999999999999E-2</v>
      </c>
      <c r="I21" s="44">
        <v>0</v>
      </c>
      <c r="K21" s="35" t="str">
        <f t="shared" si="0"/>
        <v>Bioretention without Underdrain2.5H:1V21Water Quality Treatment</v>
      </c>
      <c r="L21" s="37" t="s">
        <v>93</v>
      </c>
    </row>
    <row r="22" spans="1:12" x14ac:dyDescent="0.25">
      <c r="A22" s="45" t="s">
        <v>140</v>
      </c>
      <c r="B22" s="45" t="s">
        <v>66</v>
      </c>
      <c r="C22" s="51">
        <v>2</v>
      </c>
      <c r="D22" s="46">
        <v>2.5</v>
      </c>
      <c r="E22" s="48"/>
      <c r="F22" s="48"/>
      <c r="G22" s="48" t="s">
        <v>83</v>
      </c>
      <c r="H22" s="49">
        <v>1.4999999999999999E-2</v>
      </c>
      <c r="I22" s="50">
        <v>0</v>
      </c>
      <c r="J22" s="53"/>
      <c r="K22" s="53" t="str">
        <f t="shared" si="0"/>
        <v>Bioretention without Underdrain2.5H:1V22.5Water Quality Treatment</v>
      </c>
      <c r="L22" s="37" t="s">
        <v>93</v>
      </c>
    </row>
    <row r="23" spans="1:12" x14ac:dyDescent="0.25">
      <c r="A23" s="34" t="s">
        <v>140</v>
      </c>
      <c r="B23" s="34" t="s">
        <v>66</v>
      </c>
      <c r="C23" s="34">
        <v>6</v>
      </c>
      <c r="D23" s="32">
        <v>0.15</v>
      </c>
      <c r="E23" s="31">
        <v>0</v>
      </c>
      <c r="F23" s="31">
        <v>2000</v>
      </c>
      <c r="G23" s="31" t="s">
        <v>9</v>
      </c>
      <c r="H23" s="43" t="s">
        <v>81</v>
      </c>
      <c r="J23" s="35" t="s">
        <v>86</v>
      </c>
      <c r="K23" s="35" t="str">
        <f t="shared" si="0"/>
        <v>Bioretention without Underdrain2.5H:1V60.1502000Pre-developed Pasture Standard</v>
      </c>
      <c r="L23" s="37" t="s">
        <v>93</v>
      </c>
    </row>
    <row r="24" spans="1:12" x14ac:dyDescent="0.25">
      <c r="A24" s="34" t="s">
        <v>140</v>
      </c>
      <c r="B24" s="34" t="s">
        <v>66</v>
      </c>
      <c r="C24" s="34">
        <v>6</v>
      </c>
      <c r="D24" s="32">
        <v>0.15</v>
      </c>
      <c r="E24" s="31">
        <v>2000</v>
      </c>
      <c r="F24" s="31">
        <v>10000</v>
      </c>
      <c r="G24" s="31" t="s">
        <v>9</v>
      </c>
      <c r="H24" s="43" t="s">
        <v>81</v>
      </c>
      <c r="J24" s="35" t="s">
        <v>86</v>
      </c>
      <c r="K24" s="35" t="str">
        <f t="shared" si="0"/>
        <v>Bioretention without Underdrain2.5H:1V60.15200010000Pre-developed Pasture Standard</v>
      </c>
      <c r="L24" s="37" t="s">
        <v>93</v>
      </c>
    </row>
    <row r="25" spans="1:12" x14ac:dyDescent="0.25">
      <c r="A25" s="34" t="s">
        <v>140</v>
      </c>
      <c r="B25" s="34" t="s">
        <v>66</v>
      </c>
      <c r="C25" s="34">
        <v>6</v>
      </c>
      <c r="D25" s="32">
        <v>0.3</v>
      </c>
      <c r="E25" s="31">
        <v>0</v>
      </c>
      <c r="F25" s="31">
        <v>2000</v>
      </c>
      <c r="G25" s="31" t="s">
        <v>9</v>
      </c>
      <c r="H25" s="42">
        <v>0.13900000000000001</v>
      </c>
      <c r="I25" s="44">
        <v>0</v>
      </c>
      <c r="K25" s="35" t="str">
        <f t="shared" si="0"/>
        <v>Bioretention without Underdrain2.5H:1V60.302000Pre-developed Pasture Standard</v>
      </c>
      <c r="L25" s="37" t="s">
        <v>93</v>
      </c>
    </row>
    <row r="26" spans="1:12" x14ac:dyDescent="0.25">
      <c r="A26" s="34" t="s">
        <v>140</v>
      </c>
      <c r="B26" s="34" t="s">
        <v>66</v>
      </c>
      <c r="C26" s="34">
        <v>6</v>
      </c>
      <c r="D26" s="32">
        <v>0.3</v>
      </c>
      <c r="E26" s="31">
        <v>2000</v>
      </c>
      <c r="F26" s="31">
        <v>10000</v>
      </c>
      <c r="G26" s="31" t="s">
        <v>9</v>
      </c>
      <c r="H26" s="42">
        <v>9.8100000000000007E-2</v>
      </c>
      <c r="I26" s="44">
        <v>80</v>
      </c>
      <c r="K26" s="35" t="str">
        <f t="shared" si="0"/>
        <v>Bioretention without Underdrain2.5H:1V60.3200010000Pre-developed Pasture Standard</v>
      </c>
      <c r="L26" s="37" t="s">
        <v>93</v>
      </c>
    </row>
    <row r="27" spans="1:12" x14ac:dyDescent="0.25">
      <c r="A27" s="34" t="s">
        <v>140</v>
      </c>
      <c r="B27" s="34" t="s">
        <v>66</v>
      </c>
      <c r="C27" s="34">
        <v>6</v>
      </c>
      <c r="D27" s="32">
        <v>0.6</v>
      </c>
      <c r="E27" s="31">
        <v>0</v>
      </c>
      <c r="F27" s="31">
        <v>2000</v>
      </c>
      <c r="G27" s="31" t="s">
        <v>9</v>
      </c>
      <c r="H27" s="42">
        <v>8.5000000000000006E-2</v>
      </c>
      <c r="I27" s="44">
        <v>0</v>
      </c>
      <c r="K27" s="35" t="str">
        <f t="shared" si="0"/>
        <v>Bioretention without Underdrain2.5H:1V60.602000Pre-developed Pasture Standard</v>
      </c>
      <c r="L27" s="37" t="s">
        <v>93</v>
      </c>
    </row>
    <row r="28" spans="1:12" x14ac:dyDescent="0.25">
      <c r="A28" s="34" t="s">
        <v>140</v>
      </c>
      <c r="B28" s="34" t="s">
        <v>66</v>
      </c>
      <c r="C28" s="34">
        <v>6</v>
      </c>
      <c r="D28" s="32">
        <v>0.6</v>
      </c>
      <c r="E28" s="31">
        <v>2000</v>
      </c>
      <c r="F28" s="31">
        <v>10000</v>
      </c>
      <c r="G28" s="31" t="s">
        <v>9</v>
      </c>
      <c r="H28" s="42">
        <v>6.5299999999999997E-2</v>
      </c>
      <c r="I28" s="44">
        <v>38.200000000000003</v>
      </c>
      <c r="K28" s="35" t="str">
        <f t="shared" si="0"/>
        <v>Bioretention without Underdrain2.5H:1V60.6200010000Pre-developed Pasture Standard</v>
      </c>
      <c r="L28" s="37" t="s">
        <v>93</v>
      </c>
    </row>
    <row r="29" spans="1:12" x14ac:dyDescent="0.25">
      <c r="A29" s="34" t="s">
        <v>140</v>
      </c>
      <c r="B29" s="34" t="s">
        <v>66</v>
      </c>
      <c r="C29" s="34">
        <v>6</v>
      </c>
      <c r="D29" s="32">
        <v>1</v>
      </c>
      <c r="E29" s="31">
        <v>0</v>
      </c>
      <c r="F29" s="31">
        <v>2000</v>
      </c>
      <c r="G29" s="31" t="s">
        <v>9</v>
      </c>
      <c r="H29" s="42">
        <v>7.2999999999999995E-2</v>
      </c>
      <c r="I29" s="44">
        <v>0</v>
      </c>
      <c r="K29" s="35" t="str">
        <f t="shared" si="0"/>
        <v>Bioretention without Underdrain2.5H:1V6102000Pre-developed Pasture Standard</v>
      </c>
      <c r="L29" s="37" t="s">
        <v>93</v>
      </c>
    </row>
    <row r="30" spans="1:12" x14ac:dyDescent="0.25">
      <c r="A30" s="34" t="s">
        <v>140</v>
      </c>
      <c r="B30" s="34" t="s">
        <v>66</v>
      </c>
      <c r="C30" s="34">
        <v>6</v>
      </c>
      <c r="D30" s="32">
        <v>1</v>
      </c>
      <c r="E30" s="31">
        <v>2000</v>
      </c>
      <c r="F30" s="31">
        <v>10000</v>
      </c>
      <c r="G30" s="31" t="s">
        <v>9</v>
      </c>
      <c r="H30" s="42">
        <v>5.6099999999999997E-2</v>
      </c>
      <c r="I30" s="44">
        <v>32.700000000000003</v>
      </c>
      <c r="K30" s="35" t="str">
        <f t="shared" si="0"/>
        <v>Bioretention without Underdrain2.5H:1V61200010000Pre-developed Pasture Standard</v>
      </c>
      <c r="L30" s="37" t="s">
        <v>93</v>
      </c>
    </row>
    <row r="31" spans="1:12" x14ac:dyDescent="0.25">
      <c r="A31" s="34" t="s">
        <v>140</v>
      </c>
      <c r="B31" s="34" t="s">
        <v>66</v>
      </c>
      <c r="C31" s="34">
        <v>6</v>
      </c>
      <c r="D31" s="33">
        <v>2.5</v>
      </c>
      <c r="E31" s="31">
        <v>0</v>
      </c>
      <c r="F31" s="31">
        <v>2000</v>
      </c>
      <c r="G31" s="31" t="s">
        <v>9</v>
      </c>
      <c r="H31" s="42">
        <v>2.9000000000000001E-2</v>
      </c>
      <c r="I31" s="44">
        <v>0</v>
      </c>
      <c r="K31" s="35" t="str">
        <f t="shared" si="0"/>
        <v>Bioretention without Underdrain2.5H:1V62.502000Pre-developed Pasture Standard</v>
      </c>
      <c r="L31" s="37" t="s">
        <v>93</v>
      </c>
    </row>
    <row r="32" spans="1:12" x14ac:dyDescent="0.25">
      <c r="A32" s="45" t="s">
        <v>140</v>
      </c>
      <c r="B32" s="45" t="s">
        <v>66</v>
      </c>
      <c r="C32" s="45">
        <v>6</v>
      </c>
      <c r="D32" s="46">
        <v>2.5</v>
      </c>
      <c r="E32" s="48">
        <v>2000</v>
      </c>
      <c r="F32" s="48">
        <v>10000</v>
      </c>
      <c r="G32" s="48" t="s">
        <v>9</v>
      </c>
      <c r="H32" s="49">
        <v>2.1399999999999999E-2</v>
      </c>
      <c r="I32" s="50">
        <v>12</v>
      </c>
      <c r="J32" s="53"/>
      <c r="K32" s="53" t="str">
        <f t="shared" si="0"/>
        <v>Bioretention without Underdrain2.5H:1V62.5200010000Pre-developed Pasture Standard</v>
      </c>
      <c r="L32" s="37" t="s">
        <v>93</v>
      </c>
    </row>
    <row r="33" spans="1:12" x14ac:dyDescent="0.25">
      <c r="A33" s="34" t="s">
        <v>140</v>
      </c>
      <c r="B33" s="34" t="s">
        <v>66</v>
      </c>
      <c r="C33" s="34">
        <v>6</v>
      </c>
      <c r="D33" s="32">
        <v>0.15</v>
      </c>
      <c r="E33" s="31"/>
      <c r="F33" s="31"/>
      <c r="G33" s="31" t="s">
        <v>82</v>
      </c>
      <c r="H33" s="43" t="s">
        <v>81</v>
      </c>
      <c r="J33" s="35" t="s">
        <v>86</v>
      </c>
      <c r="K33" s="35" t="str">
        <f t="shared" si="0"/>
        <v>Bioretention without Underdrain2.5H:1V60.15Peak Control Standard</v>
      </c>
      <c r="L33" s="37" t="s">
        <v>93</v>
      </c>
    </row>
    <row r="34" spans="1:12" x14ac:dyDescent="0.25">
      <c r="A34" s="34" t="s">
        <v>140</v>
      </c>
      <c r="B34" s="34" t="s">
        <v>66</v>
      </c>
      <c r="C34" s="34">
        <v>6</v>
      </c>
      <c r="D34" s="32">
        <v>0.3</v>
      </c>
      <c r="E34" s="31"/>
      <c r="F34" s="31"/>
      <c r="G34" s="31" t="s">
        <v>82</v>
      </c>
      <c r="H34" s="42">
        <v>0.17699999999999999</v>
      </c>
      <c r="I34" s="44">
        <v>0</v>
      </c>
      <c r="K34" s="35" t="str">
        <f t="shared" si="0"/>
        <v>Bioretention without Underdrain2.5H:1V60.3Peak Control Standard</v>
      </c>
      <c r="L34" s="37" t="s">
        <v>93</v>
      </c>
    </row>
    <row r="35" spans="1:12" x14ac:dyDescent="0.25">
      <c r="A35" s="34" t="s">
        <v>140</v>
      </c>
      <c r="B35" s="34" t="s">
        <v>66</v>
      </c>
      <c r="C35" s="34">
        <v>6</v>
      </c>
      <c r="D35" s="32">
        <v>0.6</v>
      </c>
      <c r="E35" s="31"/>
      <c r="F35" s="31"/>
      <c r="G35" s="31" t="s">
        <v>82</v>
      </c>
      <c r="H35" s="42">
        <v>0.122</v>
      </c>
      <c r="I35" s="44">
        <v>0</v>
      </c>
      <c r="K35" s="35" t="str">
        <f t="shared" si="0"/>
        <v>Bioretention without Underdrain2.5H:1V60.6Peak Control Standard</v>
      </c>
      <c r="L35" s="37" t="s">
        <v>93</v>
      </c>
    </row>
    <row r="36" spans="1:12" x14ac:dyDescent="0.25">
      <c r="A36" s="34" t="s">
        <v>140</v>
      </c>
      <c r="B36" s="34" t="s">
        <v>66</v>
      </c>
      <c r="C36" s="34">
        <v>6</v>
      </c>
      <c r="D36" s="32">
        <v>1</v>
      </c>
      <c r="E36" s="31"/>
      <c r="F36" s="31"/>
      <c r="G36" s="31" t="s">
        <v>82</v>
      </c>
      <c r="H36" s="42">
        <v>0.107</v>
      </c>
      <c r="I36" s="44">
        <v>0</v>
      </c>
      <c r="K36" s="35" t="str">
        <f t="shared" si="0"/>
        <v>Bioretention without Underdrain2.5H:1V61Peak Control Standard</v>
      </c>
      <c r="L36" s="37" t="s">
        <v>93</v>
      </c>
    </row>
    <row r="37" spans="1:12" x14ac:dyDescent="0.25">
      <c r="A37" s="45" t="s">
        <v>140</v>
      </c>
      <c r="B37" s="45" t="s">
        <v>66</v>
      </c>
      <c r="C37" s="45">
        <v>6</v>
      </c>
      <c r="D37" s="46">
        <v>2.5</v>
      </c>
      <c r="E37" s="48"/>
      <c r="F37" s="48"/>
      <c r="G37" s="48" t="s">
        <v>82</v>
      </c>
      <c r="H37" s="49">
        <v>5.2999999999999999E-2</v>
      </c>
      <c r="I37" s="50">
        <v>0</v>
      </c>
      <c r="J37" s="53"/>
      <c r="K37" s="53" t="str">
        <f t="shared" si="0"/>
        <v>Bioretention without Underdrain2.5H:1V62.5Peak Control Standard</v>
      </c>
      <c r="L37" s="37" t="s">
        <v>93</v>
      </c>
    </row>
    <row r="38" spans="1:12" x14ac:dyDescent="0.25">
      <c r="A38" s="34" t="s">
        <v>140</v>
      </c>
      <c r="B38" s="34" t="s">
        <v>66</v>
      </c>
      <c r="C38" s="34">
        <v>6</v>
      </c>
      <c r="D38" s="32">
        <v>0.15</v>
      </c>
      <c r="E38" s="31"/>
      <c r="F38" s="31"/>
      <c r="G38" s="31" t="s">
        <v>83</v>
      </c>
      <c r="H38" s="43" t="s">
        <v>81</v>
      </c>
      <c r="J38" s="35" t="s">
        <v>86</v>
      </c>
      <c r="K38" s="35" t="str">
        <f t="shared" si="0"/>
        <v>Bioretention without Underdrain2.5H:1V60.15Water Quality Treatment</v>
      </c>
      <c r="L38" s="37" t="s">
        <v>93</v>
      </c>
    </row>
    <row r="39" spans="1:12" x14ac:dyDescent="0.25">
      <c r="A39" s="34" t="s">
        <v>140</v>
      </c>
      <c r="B39" s="34" t="s">
        <v>66</v>
      </c>
      <c r="C39" s="34">
        <v>6</v>
      </c>
      <c r="D39" s="32">
        <v>0.3</v>
      </c>
      <c r="E39" s="31"/>
      <c r="F39" s="31"/>
      <c r="G39" s="31" t="s">
        <v>83</v>
      </c>
      <c r="H39" s="42">
        <v>4.7E-2</v>
      </c>
      <c r="I39" s="44">
        <v>0</v>
      </c>
      <c r="K39" s="35" t="str">
        <f t="shared" si="0"/>
        <v>Bioretention without Underdrain2.5H:1V60.3Water Quality Treatment</v>
      </c>
      <c r="L39" s="37" t="s">
        <v>93</v>
      </c>
    </row>
    <row r="40" spans="1:12" x14ac:dyDescent="0.25">
      <c r="A40" s="34" t="s">
        <v>140</v>
      </c>
      <c r="B40" s="34" t="s">
        <v>66</v>
      </c>
      <c r="C40" s="34">
        <v>6</v>
      </c>
      <c r="D40" s="32">
        <v>0.6</v>
      </c>
      <c r="E40" s="31"/>
      <c r="F40" s="31"/>
      <c r="G40" s="31" t="s">
        <v>83</v>
      </c>
      <c r="H40" s="42">
        <v>0.03</v>
      </c>
      <c r="I40" s="44">
        <v>0</v>
      </c>
      <c r="K40" s="35" t="str">
        <f t="shared" si="0"/>
        <v>Bioretention without Underdrain2.5H:1V60.6Water Quality Treatment</v>
      </c>
      <c r="L40" s="37" t="s">
        <v>93</v>
      </c>
    </row>
    <row r="41" spans="1:12" x14ac:dyDescent="0.25">
      <c r="A41" s="34" t="s">
        <v>140</v>
      </c>
      <c r="B41" s="34" t="s">
        <v>66</v>
      </c>
      <c r="C41" s="34">
        <v>6</v>
      </c>
      <c r="D41" s="32">
        <v>1</v>
      </c>
      <c r="E41" s="31"/>
      <c r="F41" s="31"/>
      <c r="G41" s="31" t="s">
        <v>83</v>
      </c>
      <c r="H41" s="42">
        <v>2.5999999999999999E-2</v>
      </c>
      <c r="I41" s="44">
        <v>0</v>
      </c>
      <c r="K41" s="35" t="str">
        <f t="shared" si="0"/>
        <v>Bioretention without Underdrain2.5H:1V61Water Quality Treatment</v>
      </c>
      <c r="L41" s="37" t="s">
        <v>93</v>
      </c>
    </row>
    <row r="42" spans="1:12" x14ac:dyDescent="0.25">
      <c r="A42" s="45" t="s">
        <v>140</v>
      </c>
      <c r="B42" s="45" t="s">
        <v>66</v>
      </c>
      <c r="C42" s="45">
        <v>6</v>
      </c>
      <c r="D42" s="46">
        <v>2.5</v>
      </c>
      <c r="E42" s="48"/>
      <c r="F42" s="48"/>
      <c r="G42" s="48" t="s">
        <v>83</v>
      </c>
      <c r="H42" s="49">
        <v>0.01</v>
      </c>
      <c r="I42" s="50">
        <v>0</v>
      </c>
      <c r="J42" s="53"/>
      <c r="K42" s="53" t="str">
        <f t="shared" si="0"/>
        <v>Bioretention without Underdrain2.5H:1V62.5Water Quality Treatment</v>
      </c>
      <c r="L42" s="37" t="s">
        <v>93</v>
      </c>
    </row>
    <row r="43" spans="1:12" x14ac:dyDescent="0.25">
      <c r="A43" s="34" t="s">
        <v>140</v>
      </c>
      <c r="B43" s="34" t="s">
        <v>66</v>
      </c>
      <c r="C43" s="34">
        <v>12</v>
      </c>
      <c r="D43" s="32">
        <v>0.15</v>
      </c>
      <c r="E43" s="31">
        <v>0</v>
      </c>
      <c r="F43" s="31">
        <v>2000</v>
      </c>
      <c r="G43" s="31" t="s">
        <v>9</v>
      </c>
      <c r="H43" s="43" t="s">
        <v>81</v>
      </c>
      <c r="J43" s="35" t="s">
        <v>86</v>
      </c>
      <c r="K43" s="35" t="str">
        <f t="shared" si="0"/>
        <v>Bioretention without Underdrain2.5H:1V120.1502000Pre-developed Pasture Standard</v>
      </c>
      <c r="L43" s="37" t="s">
        <v>93</v>
      </c>
    </row>
    <row r="44" spans="1:12" x14ac:dyDescent="0.25">
      <c r="A44" s="34" t="s">
        <v>140</v>
      </c>
      <c r="B44" s="34" t="s">
        <v>66</v>
      </c>
      <c r="C44" s="34">
        <v>12</v>
      </c>
      <c r="D44" s="32">
        <v>0.15</v>
      </c>
      <c r="E44" s="31">
        <v>2000</v>
      </c>
      <c r="F44" s="31">
        <v>10000</v>
      </c>
      <c r="G44" s="31" t="s">
        <v>9</v>
      </c>
      <c r="H44" s="43" t="s">
        <v>81</v>
      </c>
      <c r="J44" s="35" t="s">
        <v>86</v>
      </c>
      <c r="K44" s="35" t="str">
        <f t="shared" si="0"/>
        <v>Bioretention without Underdrain2.5H:1V120.15200010000Pre-developed Pasture Standard</v>
      </c>
      <c r="L44" s="37" t="s">
        <v>93</v>
      </c>
    </row>
    <row r="45" spans="1:12" x14ac:dyDescent="0.25">
      <c r="A45" s="34" t="s">
        <v>140</v>
      </c>
      <c r="B45" s="34" t="s">
        <v>66</v>
      </c>
      <c r="C45" s="34">
        <v>12</v>
      </c>
      <c r="D45" s="32">
        <v>0.3</v>
      </c>
      <c r="E45" s="31">
        <v>0</v>
      </c>
      <c r="F45" s="31">
        <v>2000</v>
      </c>
      <c r="G45" s="31" t="s">
        <v>9</v>
      </c>
      <c r="H45" s="43" t="s">
        <v>81</v>
      </c>
      <c r="J45" s="35" t="s">
        <v>86</v>
      </c>
      <c r="K45" s="35" t="str">
        <f t="shared" si="0"/>
        <v>Bioretention without Underdrain2.5H:1V120.302000Pre-developed Pasture Standard</v>
      </c>
      <c r="L45" s="37" t="s">
        <v>93</v>
      </c>
    </row>
    <row r="46" spans="1:12" x14ac:dyDescent="0.25">
      <c r="A46" s="34" t="s">
        <v>140</v>
      </c>
      <c r="B46" s="34" t="s">
        <v>66</v>
      </c>
      <c r="C46" s="34">
        <v>12</v>
      </c>
      <c r="D46" s="32">
        <v>0.3</v>
      </c>
      <c r="E46" s="31">
        <v>2000</v>
      </c>
      <c r="F46" s="31">
        <v>10000</v>
      </c>
      <c r="G46" s="31" t="s">
        <v>9</v>
      </c>
      <c r="H46" s="43" t="s">
        <v>81</v>
      </c>
      <c r="J46" s="35" t="s">
        <v>86</v>
      </c>
      <c r="K46" s="35" t="str">
        <f t="shared" si="0"/>
        <v>Bioretention without Underdrain2.5H:1V120.3200010000Pre-developed Pasture Standard</v>
      </c>
      <c r="L46" s="37" t="s">
        <v>93</v>
      </c>
    </row>
    <row r="47" spans="1:12" x14ac:dyDescent="0.25">
      <c r="A47" s="34" t="s">
        <v>140</v>
      </c>
      <c r="B47" s="34" t="s">
        <v>66</v>
      </c>
      <c r="C47" s="34">
        <v>12</v>
      </c>
      <c r="D47" s="32">
        <v>0.6</v>
      </c>
      <c r="E47" s="31">
        <v>0</v>
      </c>
      <c r="F47" s="31">
        <v>2000</v>
      </c>
      <c r="G47" s="31" t="s">
        <v>9</v>
      </c>
      <c r="H47" s="42">
        <v>4.2999999999999997E-2</v>
      </c>
      <c r="I47" s="42">
        <v>0</v>
      </c>
      <c r="K47" s="35" t="str">
        <f t="shared" si="0"/>
        <v>Bioretention without Underdrain2.5H:1V120.602000Pre-developed Pasture Standard</v>
      </c>
      <c r="L47" s="37" t="s">
        <v>93</v>
      </c>
    </row>
    <row r="48" spans="1:12" x14ac:dyDescent="0.25">
      <c r="A48" s="34" t="s">
        <v>140</v>
      </c>
      <c r="B48" s="34" t="s">
        <v>66</v>
      </c>
      <c r="C48" s="34">
        <v>12</v>
      </c>
      <c r="D48" s="32">
        <v>0.6</v>
      </c>
      <c r="E48" s="31">
        <v>2000</v>
      </c>
      <c r="F48" s="31">
        <v>10000</v>
      </c>
      <c r="G48" s="31" t="s">
        <v>9</v>
      </c>
      <c r="H48" s="42">
        <v>4.4400000000000002E-2</v>
      </c>
      <c r="I48" s="42">
        <v>-3.6</v>
      </c>
      <c r="K48" s="35" t="str">
        <f t="shared" si="0"/>
        <v>Bioretention without Underdrain2.5H:1V120.6200010000Pre-developed Pasture Standard</v>
      </c>
      <c r="L48" s="37" t="s">
        <v>93</v>
      </c>
    </row>
    <row r="49" spans="1:12" x14ac:dyDescent="0.25">
      <c r="A49" s="34" t="s">
        <v>140</v>
      </c>
      <c r="B49" s="34" t="s">
        <v>66</v>
      </c>
      <c r="C49" s="34">
        <v>12</v>
      </c>
      <c r="D49" s="32">
        <v>1</v>
      </c>
      <c r="E49" s="31">
        <v>0</v>
      </c>
      <c r="F49" s="31">
        <v>2000</v>
      </c>
      <c r="G49" s="31" t="s">
        <v>9</v>
      </c>
      <c r="H49" s="42">
        <v>3.6999999999999998E-2</v>
      </c>
      <c r="I49" s="42">
        <v>0</v>
      </c>
      <c r="K49" s="35" t="str">
        <f t="shared" si="0"/>
        <v>Bioretention without Underdrain2.5H:1V12102000Pre-developed Pasture Standard</v>
      </c>
      <c r="L49" s="37" t="s">
        <v>93</v>
      </c>
    </row>
    <row r="50" spans="1:12" x14ac:dyDescent="0.25">
      <c r="A50" s="34" t="s">
        <v>140</v>
      </c>
      <c r="B50" s="34" t="s">
        <v>66</v>
      </c>
      <c r="C50" s="34">
        <v>12</v>
      </c>
      <c r="D50" s="32">
        <v>1</v>
      </c>
      <c r="E50" s="31">
        <v>2000</v>
      </c>
      <c r="F50" s="31">
        <v>10000</v>
      </c>
      <c r="G50" s="31" t="s">
        <v>9</v>
      </c>
      <c r="H50" s="42">
        <v>3.7999999999999999E-2</v>
      </c>
      <c r="I50" s="44">
        <v>-4</v>
      </c>
      <c r="K50" s="35" t="str">
        <f t="shared" si="0"/>
        <v>Bioretention without Underdrain2.5H:1V121200010000Pre-developed Pasture Standard</v>
      </c>
      <c r="L50" s="37" t="s">
        <v>93</v>
      </c>
    </row>
    <row r="51" spans="1:12" x14ac:dyDescent="0.25">
      <c r="A51" s="34" t="s">
        <v>140</v>
      </c>
      <c r="B51" s="34" t="s">
        <v>66</v>
      </c>
      <c r="C51" s="34">
        <v>12</v>
      </c>
      <c r="D51" s="33">
        <v>2.5</v>
      </c>
      <c r="E51" s="31">
        <v>0</v>
      </c>
      <c r="F51" s="31">
        <v>2000</v>
      </c>
      <c r="G51" s="31" t="s">
        <v>9</v>
      </c>
      <c r="H51" s="42">
        <v>1.2E-2</v>
      </c>
      <c r="I51" s="44">
        <v>0</v>
      </c>
      <c r="K51" s="35" t="str">
        <f t="shared" si="0"/>
        <v>Bioretention without Underdrain2.5H:1V122.502000Pre-developed Pasture Standard</v>
      </c>
      <c r="L51" s="37" t="s">
        <v>93</v>
      </c>
    </row>
    <row r="52" spans="1:12" x14ac:dyDescent="0.25">
      <c r="A52" s="45" t="s">
        <v>140</v>
      </c>
      <c r="B52" s="45" t="s">
        <v>66</v>
      </c>
      <c r="C52" s="45">
        <v>12</v>
      </c>
      <c r="D52" s="46">
        <v>2.5</v>
      </c>
      <c r="E52" s="48">
        <v>2000</v>
      </c>
      <c r="F52" s="48">
        <v>10000</v>
      </c>
      <c r="G52" s="48" t="s">
        <v>9</v>
      </c>
      <c r="H52" s="49">
        <v>1.4200000000000001E-2</v>
      </c>
      <c r="I52" s="50">
        <v>-5.5</v>
      </c>
      <c r="J52" s="53"/>
      <c r="K52" s="53" t="str">
        <f t="shared" si="0"/>
        <v>Bioretention without Underdrain2.5H:1V122.5200010000Pre-developed Pasture Standard</v>
      </c>
      <c r="L52" s="37" t="s">
        <v>93</v>
      </c>
    </row>
    <row r="53" spans="1:12" x14ac:dyDescent="0.25">
      <c r="A53" s="34" t="s">
        <v>140</v>
      </c>
      <c r="B53" s="34" t="s">
        <v>66</v>
      </c>
      <c r="C53" s="34">
        <v>12</v>
      </c>
      <c r="D53" s="32">
        <v>0.15</v>
      </c>
      <c r="G53" s="31" t="s">
        <v>82</v>
      </c>
      <c r="H53" s="43" t="s">
        <v>81</v>
      </c>
      <c r="J53" s="35" t="s">
        <v>86</v>
      </c>
      <c r="K53" s="35" t="str">
        <f t="shared" si="0"/>
        <v>Bioretention without Underdrain2.5H:1V120.15Peak Control Standard</v>
      </c>
      <c r="L53" s="37" t="s">
        <v>93</v>
      </c>
    </row>
    <row r="54" spans="1:12" x14ac:dyDescent="0.25">
      <c r="A54" s="34" t="s">
        <v>140</v>
      </c>
      <c r="B54" s="34" t="s">
        <v>66</v>
      </c>
      <c r="C54" s="34">
        <v>12</v>
      </c>
      <c r="D54" s="32">
        <v>0.3</v>
      </c>
      <c r="G54" s="31" t="s">
        <v>82</v>
      </c>
      <c r="H54" s="43" t="s">
        <v>81</v>
      </c>
      <c r="J54" s="35" t="s">
        <v>86</v>
      </c>
      <c r="K54" s="35" t="str">
        <f t="shared" si="0"/>
        <v>Bioretention without Underdrain2.5H:1V120.3Peak Control Standard</v>
      </c>
      <c r="L54" s="37" t="s">
        <v>93</v>
      </c>
    </row>
    <row r="55" spans="1:12" x14ac:dyDescent="0.25">
      <c r="A55" s="34" t="s">
        <v>140</v>
      </c>
      <c r="B55" s="34" t="s">
        <v>66</v>
      </c>
      <c r="C55" s="34">
        <v>12</v>
      </c>
      <c r="D55" s="32">
        <v>0.6</v>
      </c>
      <c r="G55" s="31" t="s">
        <v>82</v>
      </c>
      <c r="H55" s="42">
        <v>8.2000000000000003E-2</v>
      </c>
      <c r="I55" s="44">
        <v>0</v>
      </c>
      <c r="K55" s="35" t="str">
        <f t="shared" si="0"/>
        <v>Bioretention without Underdrain2.5H:1V120.6Peak Control Standard</v>
      </c>
      <c r="L55" s="37" t="s">
        <v>93</v>
      </c>
    </row>
    <row r="56" spans="1:12" x14ac:dyDescent="0.25">
      <c r="A56" s="34" t="s">
        <v>140</v>
      </c>
      <c r="B56" s="34" t="s">
        <v>66</v>
      </c>
      <c r="C56" s="34">
        <v>12</v>
      </c>
      <c r="D56" s="32">
        <v>1</v>
      </c>
      <c r="G56" s="31" t="s">
        <v>82</v>
      </c>
      <c r="H56" s="42">
        <v>7.1999999999999995E-2</v>
      </c>
      <c r="I56" s="44">
        <v>0</v>
      </c>
      <c r="K56" s="35" t="str">
        <f t="shared" si="0"/>
        <v>Bioretention without Underdrain2.5H:1V121Peak Control Standard</v>
      </c>
      <c r="L56" s="37" t="s">
        <v>93</v>
      </c>
    </row>
    <row r="57" spans="1:12" x14ac:dyDescent="0.25">
      <c r="A57" s="45" t="s">
        <v>140</v>
      </c>
      <c r="B57" s="45" t="s">
        <v>66</v>
      </c>
      <c r="C57" s="45">
        <v>12</v>
      </c>
      <c r="D57" s="46">
        <v>2.5</v>
      </c>
      <c r="E57" s="47"/>
      <c r="F57" s="47"/>
      <c r="G57" s="48" t="s">
        <v>82</v>
      </c>
      <c r="H57" s="49">
        <v>3.3000000000000002E-2</v>
      </c>
      <c r="I57" s="50">
        <v>0</v>
      </c>
      <c r="J57" s="53"/>
      <c r="K57" s="53" t="str">
        <f t="shared" si="0"/>
        <v>Bioretention without Underdrain2.5H:1V122.5Peak Control Standard</v>
      </c>
      <c r="L57" s="37" t="s">
        <v>93</v>
      </c>
    </row>
    <row r="58" spans="1:12" x14ac:dyDescent="0.25">
      <c r="A58" s="34" t="s">
        <v>140</v>
      </c>
      <c r="B58" s="34" t="s">
        <v>66</v>
      </c>
      <c r="C58" s="34">
        <v>12</v>
      </c>
      <c r="D58" s="32">
        <v>0.15</v>
      </c>
      <c r="G58" s="31" t="s">
        <v>83</v>
      </c>
      <c r="H58" s="43" t="s">
        <v>81</v>
      </c>
      <c r="J58" s="35" t="s">
        <v>86</v>
      </c>
      <c r="K58" s="35" t="str">
        <f t="shared" si="0"/>
        <v>Bioretention without Underdrain2.5H:1V120.15Water Quality Treatment</v>
      </c>
      <c r="L58" s="37" t="s">
        <v>93</v>
      </c>
    </row>
    <row r="59" spans="1:12" x14ac:dyDescent="0.25">
      <c r="A59" s="34" t="s">
        <v>140</v>
      </c>
      <c r="B59" s="34" t="s">
        <v>66</v>
      </c>
      <c r="C59" s="34">
        <v>12</v>
      </c>
      <c r="D59" s="32">
        <v>0.3</v>
      </c>
      <c r="G59" s="31" t="s">
        <v>83</v>
      </c>
      <c r="H59" s="43" t="s">
        <v>81</v>
      </c>
      <c r="J59" s="35" t="s">
        <v>86</v>
      </c>
      <c r="K59" s="35" t="str">
        <f t="shared" si="0"/>
        <v>Bioretention without Underdrain2.5H:1V120.3Water Quality Treatment</v>
      </c>
      <c r="L59" s="37" t="s">
        <v>93</v>
      </c>
    </row>
    <row r="60" spans="1:12" x14ac:dyDescent="0.25">
      <c r="A60" s="34" t="s">
        <v>140</v>
      </c>
      <c r="B60" s="34" t="s">
        <v>66</v>
      </c>
      <c r="C60" s="34">
        <v>12</v>
      </c>
      <c r="D60" s="32">
        <v>0.6</v>
      </c>
      <c r="G60" s="31" t="s">
        <v>83</v>
      </c>
      <c r="H60" s="42">
        <v>1.7000000000000001E-2</v>
      </c>
      <c r="I60" s="44">
        <v>0</v>
      </c>
      <c r="K60" s="35" t="str">
        <f t="shared" si="0"/>
        <v>Bioretention without Underdrain2.5H:1V120.6Water Quality Treatment</v>
      </c>
      <c r="L60" s="37" t="s">
        <v>93</v>
      </c>
    </row>
    <row r="61" spans="1:12" x14ac:dyDescent="0.25">
      <c r="A61" s="34" t="s">
        <v>140</v>
      </c>
      <c r="B61" s="34" t="s">
        <v>66</v>
      </c>
      <c r="C61" s="34">
        <v>12</v>
      </c>
      <c r="D61" s="32">
        <v>1</v>
      </c>
      <c r="G61" s="31" t="s">
        <v>83</v>
      </c>
      <c r="H61" s="42">
        <v>1.4999999999999999E-2</v>
      </c>
      <c r="I61" s="44">
        <v>0</v>
      </c>
      <c r="K61" s="35" t="str">
        <f t="shared" si="0"/>
        <v>Bioretention without Underdrain2.5H:1V121Water Quality Treatment</v>
      </c>
      <c r="L61" s="37" t="s">
        <v>93</v>
      </c>
    </row>
    <row r="62" spans="1:12" x14ac:dyDescent="0.25">
      <c r="A62" s="45" t="s">
        <v>140</v>
      </c>
      <c r="B62" s="45" t="s">
        <v>66</v>
      </c>
      <c r="C62" s="45">
        <v>12</v>
      </c>
      <c r="D62" s="46">
        <v>2.5</v>
      </c>
      <c r="E62" s="47"/>
      <c r="F62" s="47"/>
      <c r="G62" s="48" t="s">
        <v>83</v>
      </c>
      <c r="H62" s="49">
        <v>6.0000000000000001E-3</v>
      </c>
      <c r="I62" s="50">
        <v>0</v>
      </c>
      <c r="J62" s="53"/>
      <c r="K62" s="53" t="str">
        <f t="shared" si="0"/>
        <v>Bioretention without Underdrain2.5H:1V122.5Water Quality Treatment</v>
      </c>
      <c r="L62" s="37" t="s">
        <v>93</v>
      </c>
    </row>
    <row r="63" spans="1:12" x14ac:dyDescent="0.25">
      <c r="A63" s="34" t="s">
        <v>140</v>
      </c>
      <c r="B63" s="34" t="s">
        <v>65</v>
      </c>
      <c r="C63" s="34">
        <v>2</v>
      </c>
      <c r="D63" s="32">
        <v>0.15</v>
      </c>
      <c r="E63" s="31">
        <v>0</v>
      </c>
      <c r="F63" s="31">
        <v>2000</v>
      </c>
      <c r="G63" s="31" t="s">
        <v>9</v>
      </c>
      <c r="H63" s="42" t="s">
        <v>81</v>
      </c>
      <c r="J63" s="35" t="s">
        <v>119</v>
      </c>
      <c r="K63" s="35" t="str">
        <f t="shared" ref="K63:K82" si="1">A63&amp;B63&amp;C63&amp;D63&amp;E63&amp;F63&amp;G63</f>
        <v>Bioretention without UnderdrainVertical20.1502000Pre-developed Pasture Standard</v>
      </c>
      <c r="L63" s="37" t="s">
        <v>93</v>
      </c>
    </row>
    <row r="64" spans="1:12" x14ac:dyDescent="0.25">
      <c r="A64" s="35" t="s">
        <v>140</v>
      </c>
      <c r="B64" s="35" t="s">
        <v>65</v>
      </c>
      <c r="C64" s="35">
        <v>2</v>
      </c>
      <c r="D64" s="32">
        <v>0.15</v>
      </c>
      <c r="E64" s="31">
        <v>2000</v>
      </c>
      <c r="F64" s="31">
        <v>10000</v>
      </c>
      <c r="G64" s="31" t="s">
        <v>9</v>
      </c>
      <c r="H64" s="42" t="s">
        <v>81</v>
      </c>
      <c r="J64" s="35" t="s">
        <v>119</v>
      </c>
      <c r="K64" s="35" t="str">
        <f t="shared" si="1"/>
        <v>Bioretention without UnderdrainVertical20.15200010000Pre-developed Pasture Standard</v>
      </c>
      <c r="L64" s="37" t="s">
        <v>93</v>
      </c>
    </row>
    <row r="65" spans="1:12" x14ac:dyDescent="0.25">
      <c r="A65" s="35" t="s">
        <v>140</v>
      </c>
      <c r="B65" s="35" t="s">
        <v>65</v>
      </c>
      <c r="C65" s="35">
        <v>2</v>
      </c>
      <c r="D65" s="32">
        <v>0.3</v>
      </c>
      <c r="E65" s="31">
        <v>0</v>
      </c>
      <c r="F65" s="31">
        <v>2000</v>
      </c>
      <c r="G65" s="31" t="s">
        <v>9</v>
      </c>
      <c r="H65" s="42" t="s">
        <v>81</v>
      </c>
      <c r="J65" s="35" t="s">
        <v>119</v>
      </c>
      <c r="K65" s="35" t="str">
        <f t="shared" si="1"/>
        <v>Bioretention without UnderdrainVertical20.302000Pre-developed Pasture Standard</v>
      </c>
      <c r="L65" s="37" t="s">
        <v>93</v>
      </c>
    </row>
    <row r="66" spans="1:12" x14ac:dyDescent="0.25">
      <c r="A66" s="35" t="s">
        <v>140</v>
      </c>
      <c r="B66" s="35" t="s">
        <v>65</v>
      </c>
      <c r="C66" s="35">
        <v>2</v>
      </c>
      <c r="D66" s="32">
        <v>0.3</v>
      </c>
      <c r="E66" s="31">
        <v>2000</v>
      </c>
      <c r="F66" s="31">
        <v>10000</v>
      </c>
      <c r="G66" s="31" t="s">
        <v>9</v>
      </c>
      <c r="H66" s="42" t="s">
        <v>81</v>
      </c>
      <c r="J66" s="35" t="s">
        <v>119</v>
      </c>
      <c r="K66" s="35" t="str">
        <f t="shared" si="1"/>
        <v>Bioretention without UnderdrainVertical20.3200010000Pre-developed Pasture Standard</v>
      </c>
      <c r="L66" s="37" t="s">
        <v>93</v>
      </c>
    </row>
    <row r="67" spans="1:12" x14ac:dyDescent="0.25">
      <c r="A67" s="35" t="s">
        <v>140</v>
      </c>
      <c r="B67" s="35" t="s">
        <v>65</v>
      </c>
      <c r="C67" s="35">
        <v>2</v>
      </c>
      <c r="D67" s="32">
        <v>0.6</v>
      </c>
      <c r="E67" s="31">
        <v>0</v>
      </c>
      <c r="F67" s="31">
        <v>2000</v>
      </c>
      <c r="G67" s="31" t="s">
        <v>9</v>
      </c>
      <c r="H67" s="42" t="s">
        <v>81</v>
      </c>
      <c r="J67" s="35" t="s">
        <v>119</v>
      </c>
      <c r="K67" s="35" t="str">
        <f t="shared" si="1"/>
        <v>Bioretention without UnderdrainVertical20.602000Pre-developed Pasture Standard</v>
      </c>
      <c r="L67" s="37" t="s">
        <v>93</v>
      </c>
    </row>
    <row r="68" spans="1:12" x14ac:dyDescent="0.25">
      <c r="A68" s="35" t="s">
        <v>140</v>
      </c>
      <c r="B68" s="35" t="s">
        <v>65</v>
      </c>
      <c r="C68" s="35">
        <v>2</v>
      </c>
      <c r="D68" s="32">
        <v>0.6</v>
      </c>
      <c r="E68" s="31">
        <v>2000</v>
      </c>
      <c r="F68" s="31">
        <v>10000</v>
      </c>
      <c r="G68" s="31" t="s">
        <v>9</v>
      </c>
      <c r="H68" s="42" t="s">
        <v>81</v>
      </c>
      <c r="J68" s="35" t="s">
        <v>119</v>
      </c>
      <c r="K68" s="35" t="str">
        <f t="shared" si="1"/>
        <v>Bioretention without UnderdrainVertical20.6200010000Pre-developed Pasture Standard</v>
      </c>
      <c r="L68" s="37" t="s">
        <v>93</v>
      </c>
    </row>
    <row r="69" spans="1:12" x14ac:dyDescent="0.25">
      <c r="A69" s="35" t="s">
        <v>140</v>
      </c>
      <c r="B69" s="35" t="s">
        <v>65</v>
      </c>
      <c r="C69" s="35">
        <v>2</v>
      </c>
      <c r="D69" s="32">
        <v>1</v>
      </c>
      <c r="E69" s="31">
        <v>0</v>
      </c>
      <c r="F69" s="31">
        <v>2000</v>
      </c>
      <c r="G69" s="31" t="s">
        <v>9</v>
      </c>
      <c r="H69" s="42" t="s">
        <v>81</v>
      </c>
      <c r="J69" s="35" t="s">
        <v>119</v>
      </c>
      <c r="K69" s="35" t="str">
        <f t="shared" si="1"/>
        <v>Bioretention without UnderdrainVertical2102000Pre-developed Pasture Standard</v>
      </c>
      <c r="L69" s="37" t="s">
        <v>93</v>
      </c>
    </row>
    <row r="70" spans="1:12" x14ac:dyDescent="0.25">
      <c r="A70" s="35" t="s">
        <v>140</v>
      </c>
      <c r="B70" s="35" t="s">
        <v>65</v>
      </c>
      <c r="C70" s="35">
        <v>2</v>
      </c>
      <c r="D70" s="32">
        <v>1</v>
      </c>
      <c r="E70" s="31">
        <v>2000</v>
      </c>
      <c r="F70" s="31">
        <v>10000</v>
      </c>
      <c r="G70" s="31" t="s">
        <v>9</v>
      </c>
      <c r="H70" s="42" t="s">
        <v>81</v>
      </c>
      <c r="J70" s="35" t="s">
        <v>119</v>
      </c>
      <c r="K70" s="35" t="str">
        <f t="shared" si="1"/>
        <v>Bioretention without UnderdrainVertical21200010000Pre-developed Pasture Standard</v>
      </c>
      <c r="L70" s="37" t="s">
        <v>93</v>
      </c>
    </row>
    <row r="71" spans="1:12" x14ac:dyDescent="0.25">
      <c r="A71" s="35" t="s">
        <v>140</v>
      </c>
      <c r="B71" s="35" t="s">
        <v>65</v>
      </c>
      <c r="C71" s="35">
        <v>2</v>
      </c>
      <c r="D71" s="32">
        <v>2.5</v>
      </c>
      <c r="E71" s="31">
        <v>0</v>
      </c>
      <c r="F71" s="31">
        <v>2000</v>
      </c>
      <c r="G71" s="31" t="s">
        <v>9</v>
      </c>
      <c r="H71" s="42" t="s">
        <v>81</v>
      </c>
      <c r="J71" s="35" t="s">
        <v>119</v>
      </c>
      <c r="K71" s="35" t="str">
        <f t="shared" si="1"/>
        <v>Bioretention without UnderdrainVertical22.502000Pre-developed Pasture Standard</v>
      </c>
      <c r="L71" s="37" t="s">
        <v>93</v>
      </c>
    </row>
    <row r="72" spans="1:12" x14ac:dyDescent="0.25">
      <c r="A72" s="53" t="s">
        <v>140</v>
      </c>
      <c r="B72" s="53" t="s">
        <v>65</v>
      </c>
      <c r="C72" s="53">
        <v>2</v>
      </c>
      <c r="D72" s="51">
        <v>2.5</v>
      </c>
      <c r="E72" s="48">
        <v>2000</v>
      </c>
      <c r="F72" s="48">
        <v>10000</v>
      </c>
      <c r="G72" s="48" t="s">
        <v>9</v>
      </c>
      <c r="H72" s="49" t="s">
        <v>81</v>
      </c>
      <c r="I72" s="49"/>
      <c r="J72" s="53" t="s">
        <v>119</v>
      </c>
      <c r="K72" s="53" t="str">
        <f t="shared" si="1"/>
        <v>Bioretention without UnderdrainVertical22.5200010000Pre-developed Pasture Standard</v>
      </c>
      <c r="L72" s="37" t="s">
        <v>93</v>
      </c>
    </row>
    <row r="73" spans="1:12" x14ac:dyDescent="0.25">
      <c r="A73" s="35" t="s">
        <v>140</v>
      </c>
      <c r="B73" s="35" t="s">
        <v>65</v>
      </c>
      <c r="C73" s="35">
        <v>2</v>
      </c>
      <c r="D73" s="32">
        <v>0.15</v>
      </c>
      <c r="G73" s="31" t="s">
        <v>82</v>
      </c>
      <c r="H73" s="42" t="s">
        <v>81</v>
      </c>
      <c r="J73" s="35" t="s">
        <v>119</v>
      </c>
      <c r="K73" s="35" t="str">
        <f t="shared" si="1"/>
        <v>Bioretention without UnderdrainVertical20.15Peak Control Standard</v>
      </c>
      <c r="L73" s="37" t="s">
        <v>93</v>
      </c>
    </row>
    <row r="74" spans="1:12" x14ac:dyDescent="0.25">
      <c r="A74" s="35" t="s">
        <v>140</v>
      </c>
      <c r="B74" s="35" t="s">
        <v>65</v>
      </c>
      <c r="C74" s="35">
        <v>2</v>
      </c>
      <c r="D74" s="32">
        <v>0.3</v>
      </c>
      <c r="G74" s="31" t="s">
        <v>82</v>
      </c>
      <c r="H74" s="42" t="s">
        <v>81</v>
      </c>
      <c r="J74" s="35" t="s">
        <v>119</v>
      </c>
      <c r="K74" s="35" t="str">
        <f t="shared" si="1"/>
        <v>Bioretention without UnderdrainVertical20.3Peak Control Standard</v>
      </c>
      <c r="L74" s="37" t="s">
        <v>93</v>
      </c>
    </row>
    <row r="75" spans="1:12" x14ac:dyDescent="0.25">
      <c r="A75" s="35" t="s">
        <v>140</v>
      </c>
      <c r="B75" s="35" t="s">
        <v>65</v>
      </c>
      <c r="C75" s="35">
        <v>2</v>
      </c>
      <c r="D75" s="32">
        <v>0.6</v>
      </c>
      <c r="G75" s="31" t="s">
        <v>82</v>
      </c>
      <c r="H75" s="42" t="s">
        <v>81</v>
      </c>
      <c r="J75" s="35" t="s">
        <v>119</v>
      </c>
      <c r="K75" s="35" t="str">
        <f t="shared" si="1"/>
        <v>Bioretention without UnderdrainVertical20.6Peak Control Standard</v>
      </c>
      <c r="L75" s="37" t="s">
        <v>93</v>
      </c>
    </row>
    <row r="76" spans="1:12" x14ac:dyDescent="0.25">
      <c r="A76" s="35" t="s">
        <v>140</v>
      </c>
      <c r="B76" s="35" t="s">
        <v>65</v>
      </c>
      <c r="C76" s="35">
        <v>2</v>
      </c>
      <c r="D76" s="32">
        <v>1</v>
      </c>
      <c r="G76" s="31" t="s">
        <v>82</v>
      </c>
      <c r="H76" s="42" t="s">
        <v>81</v>
      </c>
      <c r="J76" s="35" t="s">
        <v>119</v>
      </c>
      <c r="K76" s="35" t="str">
        <f t="shared" si="1"/>
        <v>Bioretention without UnderdrainVertical21Peak Control Standard</v>
      </c>
      <c r="L76" s="37" t="s">
        <v>93</v>
      </c>
    </row>
    <row r="77" spans="1:12" x14ac:dyDescent="0.25">
      <c r="A77" s="53" t="s">
        <v>140</v>
      </c>
      <c r="B77" s="53" t="s">
        <v>65</v>
      </c>
      <c r="C77" s="53">
        <v>2</v>
      </c>
      <c r="D77" s="51">
        <v>2.5</v>
      </c>
      <c r="E77" s="47"/>
      <c r="F77" s="47"/>
      <c r="G77" s="48" t="s">
        <v>82</v>
      </c>
      <c r="H77" s="49" t="s">
        <v>81</v>
      </c>
      <c r="I77" s="49"/>
      <c r="J77" s="53" t="s">
        <v>119</v>
      </c>
      <c r="K77" s="53" t="str">
        <f t="shared" si="1"/>
        <v>Bioretention without UnderdrainVertical22.5Peak Control Standard</v>
      </c>
      <c r="L77" s="37" t="s">
        <v>93</v>
      </c>
    </row>
    <row r="78" spans="1:12" x14ac:dyDescent="0.25">
      <c r="A78" s="35" t="s">
        <v>140</v>
      </c>
      <c r="B78" s="35" t="s">
        <v>65</v>
      </c>
      <c r="C78" s="35">
        <v>2</v>
      </c>
      <c r="D78" s="32">
        <v>0.15</v>
      </c>
      <c r="G78" s="31" t="s">
        <v>83</v>
      </c>
      <c r="H78" s="42" t="s">
        <v>81</v>
      </c>
      <c r="J78" s="35" t="s">
        <v>119</v>
      </c>
      <c r="K78" s="35" t="str">
        <f t="shared" si="1"/>
        <v>Bioretention without UnderdrainVertical20.15Water Quality Treatment</v>
      </c>
      <c r="L78" s="37" t="s">
        <v>93</v>
      </c>
    </row>
    <row r="79" spans="1:12" x14ac:dyDescent="0.25">
      <c r="A79" s="35" t="s">
        <v>140</v>
      </c>
      <c r="B79" s="35" t="s">
        <v>65</v>
      </c>
      <c r="C79" s="35">
        <v>2</v>
      </c>
      <c r="D79" s="32">
        <v>0.3</v>
      </c>
      <c r="G79" s="31" t="s">
        <v>83</v>
      </c>
      <c r="H79" s="42" t="s">
        <v>81</v>
      </c>
      <c r="J79" s="35" t="s">
        <v>119</v>
      </c>
      <c r="K79" s="35" t="str">
        <f t="shared" si="1"/>
        <v>Bioretention without UnderdrainVertical20.3Water Quality Treatment</v>
      </c>
      <c r="L79" s="37" t="s">
        <v>93</v>
      </c>
    </row>
    <row r="80" spans="1:12" x14ac:dyDescent="0.25">
      <c r="A80" s="35" t="s">
        <v>140</v>
      </c>
      <c r="B80" s="35" t="s">
        <v>65</v>
      </c>
      <c r="C80" s="35">
        <v>2</v>
      </c>
      <c r="D80" s="32">
        <v>0.6</v>
      </c>
      <c r="G80" s="31" t="s">
        <v>83</v>
      </c>
      <c r="H80" s="42" t="s">
        <v>81</v>
      </c>
      <c r="J80" s="35" t="s">
        <v>119</v>
      </c>
      <c r="K80" s="35" t="str">
        <f t="shared" si="1"/>
        <v>Bioretention without UnderdrainVertical20.6Water Quality Treatment</v>
      </c>
      <c r="L80" s="37" t="s">
        <v>93</v>
      </c>
    </row>
    <row r="81" spans="1:12" x14ac:dyDescent="0.25">
      <c r="A81" s="35" t="s">
        <v>140</v>
      </c>
      <c r="B81" s="35" t="s">
        <v>65</v>
      </c>
      <c r="C81" s="35">
        <v>2</v>
      </c>
      <c r="D81" s="32">
        <v>1</v>
      </c>
      <c r="G81" s="31" t="s">
        <v>83</v>
      </c>
      <c r="H81" s="42" t="s">
        <v>81</v>
      </c>
      <c r="J81" s="35" t="s">
        <v>119</v>
      </c>
      <c r="K81" s="35" t="str">
        <f t="shared" si="1"/>
        <v>Bioretention without UnderdrainVertical21Water Quality Treatment</v>
      </c>
      <c r="L81" s="37" t="s">
        <v>93</v>
      </c>
    </row>
    <row r="82" spans="1:12" x14ac:dyDescent="0.25">
      <c r="A82" s="53" t="s">
        <v>140</v>
      </c>
      <c r="B82" s="53" t="s">
        <v>65</v>
      </c>
      <c r="C82" s="53">
        <v>2</v>
      </c>
      <c r="D82" s="51">
        <v>2.5</v>
      </c>
      <c r="E82" s="47"/>
      <c r="F82" s="47"/>
      <c r="G82" s="48" t="s">
        <v>83</v>
      </c>
      <c r="H82" s="49" t="s">
        <v>81</v>
      </c>
      <c r="I82" s="49"/>
      <c r="J82" s="53" t="s">
        <v>119</v>
      </c>
      <c r="K82" s="53" t="str">
        <f t="shared" si="1"/>
        <v>Bioretention without UnderdrainVertical22.5Water Quality Treatment</v>
      </c>
      <c r="L82" s="37" t="s">
        <v>93</v>
      </c>
    </row>
    <row r="83" spans="1:12" x14ac:dyDescent="0.25">
      <c r="A83" s="34" t="s">
        <v>140</v>
      </c>
      <c r="B83" s="34" t="s">
        <v>65</v>
      </c>
      <c r="C83" s="34">
        <v>6</v>
      </c>
      <c r="D83" s="32">
        <v>0.15</v>
      </c>
      <c r="E83" s="31">
        <v>0</v>
      </c>
      <c r="F83" s="31">
        <v>2000</v>
      </c>
      <c r="G83" s="31" t="s">
        <v>9</v>
      </c>
      <c r="H83" s="42" t="s">
        <v>81</v>
      </c>
      <c r="J83" s="35" t="s">
        <v>86</v>
      </c>
      <c r="K83" s="35" t="str">
        <f t="shared" si="0"/>
        <v>Bioretention without UnderdrainVertical60.1502000Pre-developed Pasture Standard</v>
      </c>
      <c r="L83" s="37" t="s">
        <v>93</v>
      </c>
    </row>
    <row r="84" spans="1:12" x14ac:dyDescent="0.25">
      <c r="A84" s="35" t="s">
        <v>140</v>
      </c>
      <c r="B84" s="35" t="s">
        <v>65</v>
      </c>
      <c r="C84" s="35">
        <v>6</v>
      </c>
      <c r="D84" s="32">
        <v>0.15</v>
      </c>
      <c r="E84" s="31">
        <v>2000</v>
      </c>
      <c r="F84" s="31">
        <v>10000</v>
      </c>
      <c r="G84" s="31" t="s">
        <v>9</v>
      </c>
      <c r="H84" s="42" t="s">
        <v>81</v>
      </c>
      <c r="J84" s="35" t="s">
        <v>86</v>
      </c>
      <c r="K84" s="35" t="str">
        <f t="shared" si="0"/>
        <v>Bioretention without UnderdrainVertical60.15200010000Pre-developed Pasture Standard</v>
      </c>
      <c r="L84" s="37" t="s">
        <v>93</v>
      </c>
    </row>
    <row r="85" spans="1:12" x14ac:dyDescent="0.25">
      <c r="A85" s="35" t="s">
        <v>140</v>
      </c>
      <c r="B85" s="35" t="s">
        <v>65</v>
      </c>
      <c r="C85" s="35">
        <v>6</v>
      </c>
      <c r="D85" s="32">
        <v>0.3</v>
      </c>
      <c r="E85" s="31">
        <v>0</v>
      </c>
      <c r="F85" s="31">
        <v>2000</v>
      </c>
      <c r="G85" s="31" t="s">
        <v>9</v>
      </c>
      <c r="H85" s="42">
        <v>0.20200000000000001</v>
      </c>
      <c r="I85" s="42">
        <v>0</v>
      </c>
      <c r="K85" s="35" t="str">
        <f t="shared" si="0"/>
        <v>Bioretention without UnderdrainVertical60.302000Pre-developed Pasture Standard</v>
      </c>
      <c r="L85" s="37" t="s">
        <v>93</v>
      </c>
    </row>
    <row r="86" spans="1:12" x14ac:dyDescent="0.25">
      <c r="A86" s="35" t="s">
        <v>140</v>
      </c>
      <c r="B86" s="35" t="s">
        <v>65</v>
      </c>
      <c r="C86" s="35">
        <v>6</v>
      </c>
      <c r="D86" s="32">
        <v>0.3</v>
      </c>
      <c r="E86" s="31">
        <v>2000</v>
      </c>
      <c r="F86" s="31">
        <v>10000</v>
      </c>
      <c r="G86" s="31" t="s">
        <v>9</v>
      </c>
      <c r="H86" s="42">
        <v>0.1106</v>
      </c>
      <c r="I86" s="42">
        <v>182.2</v>
      </c>
      <c r="K86" s="35" t="str">
        <f t="shared" si="0"/>
        <v>Bioretention without UnderdrainVertical60.3200010000Pre-developed Pasture Standard</v>
      </c>
      <c r="L86" s="37" t="s">
        <v>93</v>
      </c>
    </row>
    <row r="87" spans="1:12" x14ac:dyDescent="0.25">
      <c r="A87" s="35" t="s">
        <v>140</v>
      </c>
      <c r="B87" s="35" t="s">
        <v>65</v>
      </c>
      <c r="C87" s="35">
        <v>6</v>
      </c>
      <c r="D87" s="32">
        <v>0.6</v>
      </c>
      <c r="E87" s="31">
        <v>0</v>
      </c>
      <c r="F87" s="31">
        <v>2000</v>
      </c>
      <c r="G87" s="31" t="s">
        <v>9</v>
      </c>
      <c r="H87" s="42">
        <v>0.13600000000000001</v>
      </c>
      <c r="I87" s="42">
        <v>0</v>
      </c>
      <c r="K87" s="35" t="str">
        <f t="shared" si="0"/>
        <v>Bioretention without UnderdrainVertical60.602000Pre-developed Pasture Standard</v>
      </c>
      <c r="L87" s="37" t="s">
        <v>93</v>
      </c>
    </row>
    <row r="88" spans="1:12" x14ac:dyDescent="0.25">
      <c r="A88" s="35" t="s">
        <v>140</v>
      </c>
      <c r="B88" s="35" t="s">
        <v>65</v>
      </c>
      <c r="C88" s="35">
        <v>6</v>
      </c>
      <c r="D88" s="32">
        <v>0.6</v>
      </c>
      <c r="E88" s="31">
        <v>2000</v>
      </c>
      <c r="F88" s="31">
        <v>10000</v>
      </c>
      <c r="G88" s="31" t="s">
        <v>9</v>
      </c>
      <c r="H88" s="42">
        <v>7.5300000000000006E-2</v>
      </c>
      <c r="I88" s="42">
        <v>124.7</v>
      </c>
      <c r="K88" s="35" t="str">
        <f t="shared" ref="K88:K122" si="2">A88&amp;B88&amp;C88&amp;D88&amp;E88&amp;F88&amp;G88</f>
        <v>Bioretention without UnderdrainVertical60.6200010000Pre-developed Pasture Standard</v>
      </c>
      <c r="L88" s="37" t="s">
        <v>93</v>
      </c>
    </row>
    <row r="89" spans="1:12" x14ac:dyDescent="0.25">
      <c r="A89" s="35" t="s">
        <v>140</v>
      </c>
      <c r="B89" s="35" t="s">
        <v>65</v>
      </c>
      <c r="C89" s="35">
        <v>6</v>
      </c>
      <c r="D89" s="32">
        <v>1</v>
      </c>
      <c r="E89" s="31">
        <v>0</v>
      </c>
      <c r="F89" s="31">
        <v>2000</v>
      </c>
      <c r="G89" s="31" t="s">
        <v>9</v>
      </c>
      <c r="H89" s="42">
        <v>0.11899999999999999</v>
      </c>
      <c r="I89" s="42">
        <v>0</v>
      </c>
      <c r="K89" s="35" t="str">
        <f t="shared" si="2"/>
        <v>Bioretention without UnderdrainVertical6102000Pre-developed Pasture Standard</v>
      </c>
      <c r="L89" s="37" t="s">
        <v>93</v>
      </c>
    </row>
    <row r="90" spans="1:12" x14ac:dyDescent="0.25">
      <c r="A90" s="35" t="s">
        <v>140</v>
      </c>
      <c r="B90" s="35" t="s">
        <v>65</v>
      </c>
      <c r="C90" s="35">
        <v>6</v>
      </c>
      <c r="D90" s="32">
        <v>1</v>
      </c>
      <c r="E90" s="31">
        <v>2000</v>
      </c>
      <c r="F90" s="31">
        <v>10000</v>
      </c>
      <c r="G90" s="31" t="s">
        <v>9</v>
      </c>
      <c r="H90" s="42">
        <v>6.5699999999999995E-2</v>
      </c>
      <c r="I90" s="42">
        <v>108.8</v>
      </c>
      <c r="K90" s="35" t="str">
        <f t="shared" si="2"/>
        <v>Bioretention without UnderdrainVertical61200010000Pre-developed Pasture Standard</v>
      </c>
      <c r="L90" s="37" t="s">
        <v>93</v>
      </c>
    </row>
    <row r="91" spans="1:12" x14ac:dyDescent="0.25">
      <c r="A91" s="35" t="s">
        <v>140</v>
      </c>
      <c r="B91" s="35" t="s">
        <v>65</v>
      </c>
      <c r="C91" s="35">
        <v>6</v>
      </c>
      <c r="D91" s="32">
        <v>2.5</v>
      </c>
      <c r="E91" s="31">
        <v>0</v>
      </c>
      <c r="F91" s="31">
        <v>2000</v>
      </c>
      <c r="G91" s="31" t="s">
        <v>9</v>
      </c>
      <c r="H91" s="42">
        <v>5.3999999999999999E-2</v>
      </c>
      <c r="I91" s="42">
        <v>0</v>
      </c>
      <c r="K91" s="35" t="str">
        <f t="shared" si="2"/>
        <v>Bioretention without UnderdrainVertical62.502000Pre-developed Pasture Standard</v>
      </c>
      <c r="L91" s="37" t="s">
        <v>93</v>
      </c>
    </row>
    <row r="92" spans="1:12" x14ac:dyDescent="0.25">
      <c r="A92" s="53" t="s">
        <v>140</v>
      </c>
      <c r="B92" s="53" t="s">
        <v>65</v>
      </c>
      <c r="C92" s="53">
        <v>6</v>
      </c>
      <c r="D92" s="51">
        <v>2.5</v>
      </c>
      <c r="E92" s="48">
        <v>2000</v>
      </c>
      <c r="F92" s="48">
        <v>10000</v>
      </c>
      <c r="G92" s="48" t="s">
        <v>9</v>
      </c>
      <c r="H92" s="49">
        <v>2.9700000000000001E-2</v>
      </c>
      <c r="I92" s="49">
        <v>49.4</v>
      </c>
      <c r="J92" s="53"/>
      <c r="K92" s="53" t="str">
        <f t="shared" si="2"/>
        <v>Bioretention without UnderdrainVertical62.5200010000Pre-developed Pasture Standard</v>
      </c>
      <c r="L92" s="37" t="s">
        <v>93</v>
      </c>
    </row>
    <row r="93" spans="1:12" x14ac:dyDescent="0.25">
      <c r="A93" s="35" t="s">
        <v>140</v>
      </c>
      <c r="B93" s="35" t="s">
        <v>65</v>
      </c>
      <c r="C93" s="35">
        <v>6</v>
      </c>
      <c r="D93" s="32">
        <v>0.15</v>
      </c>
      <c r="G93" s="31" t="s">
        <v>82</v>
      </c>
      <c r="H93" s="42" t="s">
        <v>81</v>
      </c>
      <c r="J93" s="35" t="s">
        <v>86</v>
      </c>
      <c r="K93" s="35" t="str">
        <f t="shared" si="2"/>
        <v>Bioretention without UnderdrainVertical60.15Peak Control Standard</v>
      </c>
      <c r="L93" s="37" t="s">
        <v>93</v>
      </c>
    </row>
    <row r="94" spans="1:12" x14ac:dyDescent="0.25">
      <c r="A94" s="35" t="s">
        <v>140</v>
      </c>
      <c r="B94" s="35" t="s">
        <v>65</v>
      </c>
      <c r="C94" s="35">
        <v>6</v>
      </c>
      <c r="D94" s="32">
        <v>0.3</v>
      </c>
      <c r="G94" s="31" t="s">
        <v>82</v>
      </c>
      <c r="H94" s="42">
        <v>0.20799999999999999</v>
      </c>
      <c r="I94" s="42">
        <v>0</v>
      </c>
      <c r="K94" s="35" t="str">
        <f t="shared" si="2"/>
        <v>Bioretention without UnderdrainVertical60.3Peak Control Standard</v>
      </c>
      <c r="L94" s="37" t="s">
        <v>93</v>
      </c>
    </row>
    <row r="95" spans="1:12" x14ac:dyDescent="0.25">
      <c r="A95" s="35" t="s">
        <v>140</v>
      </c>
      <c r="B95" s="35" t="s">
        <v>65</v>
      </c>
      <c r="C95" s="35">
        <v>6</v>
      </c>
      <c r="D95" s="32">
        <v>0.6</v>
      </c>
      <c r="G95" s="31" t="s">
        <v>82</v>
      </c>
      <c r="H95" s="42">
        <v>0.154</v>
      </c>
      <c r="I95" s="42">
        <v>0</v>
      </c>
      <c r="K95" s="35" t="str">
        <f t="shared" si="2"/>
        <v>Bioretention without UnderdrainVertical60.6Peak Control Standard</v>
      </c>
      <c r="L95" s="37" t="s">
        <v>93</v>
      </c>
    </row>
    <row r="96" spans="1:12" x14ac:dyDescent="0.25">
      <c r="A96" s="35" t="s">
        <v>140</v>
      </c>
      <c r="B96" s="35" t="s">
        <v>65</v>
      </c>
      <c r="C96" s="35">
        <v>6</v>
      </c>
      <c r="D96" s="32">
        <v>1</v>
      </c>
      <c r="G96" s="31" t="s">
        <v>82</v>
      </c>
      <c r="H96" s="42">
        <v>0.13700000000000001</v>
      </c>
      <c r="I96" s="42">
        <v>0</v>
      </c>
      <c r="K96" s="35" t="str">
        <f t="shared" si="2"/>
        <v>Bioretention without UnderdrainVertical61Peak Control Standard</v>
      </c>
      <c r="L96" s="37" t="s">
        <v>93</v>
      </c>
    </row>
    <row r="97" spans="1:12" x14ac:dyDescent="0.25">
      <c r="A97" s="53" t="s">
        <v>140</v>
      </c>
      <c r="B97" s="53" t="s">
        <v>65</v>
      </c>
      <c r="C97" s="53">
        <v>6</v>
      </c>
      <c r="D97" s="51">
        <v>2.5</v>
      </c>
      <c r="E97" s="47"/>
      <c r="F97" s="47"/>
      <c r="G97" s="48" t="s">
        <v>82</v>
      </c>
      <c r="H97" s="49">
        <v>7.2999999999999995E-2</v>
      </c>
      <c r="I97" s="49">
        <v>0</v>
      </c>
      <c r="J97" s="53"/>
      <c r="K97" s="53" t="str">
        <f t="shared" si="2"/>
        <v>Bioretention without UnderdrainVertical62.5Peak Control Standard</v>
      </c>
      <c r="L97" s="37" t="s">
        <v>93</v>
      </c>
    </row>
    <row r="98" spans="1:12" x14ac:dyDescent="0.25">
      <c r="A98" s="35" t="s">
        <v>140</v>
      </c>
      <c r="B98" s="35" t="s">
        <v>65</v>
      </c>
      <c r="C98" s="35">
        <v>6</v>
      </c>
      <c r="D98" s="32">
        <v>0.15</v>
      </c>
      <c r="G98" s="31" t="s">
        <v>83</v>
      </c>
      <c r="H98" s="42" t="s">
        <v>81</v>
      </c>
      <c r="J98" s="35" t="s">
        <v>86</v>
      </c>
      <c r="K98" s="35" t="str">
        <f t="shared" si="2"/>
        <v>Bioretention without UnderdrainVertical60.15Water Quality Treatment</v>
      </c>
      <c r="L98" s="37" t="s">
        <v>93</v>
      </c>
    </row>
    <row r="99" spans="1:12" x14ac:dyDescent="0.25">
      <c r="A99" s="35" t="s">
        <v>140</v>
      </c>
      <c r="B99" s="35" t="s">
        <v>65</v>
      </c>
      <c r="C99" s="35">
        <v>6</v>
      </c>
      <c r="D99" s="32">
        <v>0.3</v>
      </c>
      <c r="G99" s="31" t="s">
        <v>83</v>
      </c>
      <c r="H99" s="42">
        <v>6.6000000000000003E-2</v>
      </c>
      <c r="I99" s="42">
        <v>0</v>
      </c>
      <c r="K99" s="35" t="str">
        <f t="shared" si="2"/>
        <v>Bioretention without UnderdrainVertical60.3Water Quality Treatment</v>
      </c>
      <c r="L99" s="37" t="s">
        <v>93</v>
      </c>
    </row>
    <row r="100" spans="1:12" x14ac:dyDescent="0.25">
      <c r="A100" s="35" t="s">
        <v>140</v>
      </c>
      <c r="B100" s="35" t="s">
        <v>65</v>
      </c>
      <c r="C100" s="35">
        <v>6</v>
      </c>
      <c r="D100" s="32">
        <v>0.6</v>
      </c>
      <c r="G100" s="31" t="s">
        <v>83</v>
      </c>
      <c r="H100" s="42">
        <v>4.4999999999999998E-2</v>
      </c>
      <c r="I100" s="42">
        <v>0</v>
      </c>
      <c r="K100" s="35" t="str">
        <f t="shared" si="2"/>
        <v>Bioretention without UnderdrainVertical60.6Water Quality Treatment</v>
      </c>
      <c r="L100" s="37" t="s">
        <v>93</v>
      </c>
    </row>
    <row r="101" spans="1:12" x14ac:dyDescent="0.25">
      <c r="A101" s="35" t="s">
        <v>140</v>
      </c>
      <c r="B101" s="35" t="s">
        <v>65</v>
      </c>
      <c r="C101" s="35">
        <v>6</v>
      </c>
      <c r="D101" s="32">
        <v>1</v>
      </c>
      <c r="G101" s="31" t="s">
        <v>83</v>
      </c>
      <c r="H101" s="42">
        <v>0.04</v>
      </c>
      <c r="I101" s="42">
        <v>0</v>
      </c>
      <c r="K101" s="35" t="str">
        <f t="shared" si="2"/>
        <v>Bioretention without UnderdrainVertical61Water Quality Treatment</v>
      </c>
      <c r="L101" s="37" t="s">
        <v>93</v>
      </c>
    </row>
    <row r="102" spans="1:12" x14ac:dyDescent="0.25">
      <c r="A102" s="53" t="s">
        <v>140</v>
      </c>
      <c r="B102" s="53" t="s">
        <v>65</v>
      </c>
      <c r="C102" s="53">
        <v>6</v>
      </c>
      <c r="D102" s="51">
        <v>2.5</v>
      </c>
      <c r="E102" s="47"/>
      <c r="F102" s="47"/>
      <c r="G102" s="48" t="s">
        <v>83</v>
      </c>
      <c r="H102" s="49">
        <v>1.9E-2</v>
      </c>
      <c r="I102" s="49">
        <v>0</v>
      </c>
      <c r="J102" s="53"/>
      <c r="K102" s="53" t="str">
        <f t="shared" si="2"/>
        <v>Bioretention without UnderdrainVertical62.5Water Quality Treatment</v>
      </c>
      <c r="L102" s="37" t="s">
        <v>93</v>
      </c>
    </row>
    <row r="103" spans="1:12" x14ac:dyDescent="0.25">
      <c r="A103" s="34" t="s">
        <v>140</v>
      </c>
      <c r="B103" s="34" t="s">
        <v>65</v>
      </c>
      <c r="C103" s="34">
        <v>12</v>
      </c>
      <c r="D103" s="32">
        <v>0.15</v>
      </c>
      <c r="E103" s="31">
        <v>0</v>
      </c>
      <c r="F103" s="31">
        <v>2000</v>
      </c>
      <c r="G103" s="31" t="s">
        <v>9</v>
      </c>
      <c r="H103" s="42" t="s">
        <v>81</v>
      </c>
      <c r="J103" s="35" t="s">
        <v>86</v>
      </c>
      <c r="K103" s="35" t="str">
        <f t="shared" si="2"/>
        <v>Bioretention without UnderdrainVertical120.1502000Pre-developed Pasture Standard</v>
      </c>
      <c r="L103" s="37" t="s">
        <v>93</v>
      </c>
    </row>
    <row r="104" spans="1:12" x14ac:dyDescent="0.25">
      <c r="A104" s="35" t="s">
        <v>140</v>
      </c>
      <c r="B104" s="35" t="s">
        <v>65</v>
      </c>
      <c r="C104" s="35">
        <v>12</v>
      </c>
      <c r="D104" s="32">
        <v>0.15</v>
      </c>
      <c r="E104" s="31">
        <v>2000</v>
      </c>
      <c r="F104" s="31">
        <v>10000</v>
      </c>
      <c r="G104" s="31" t="s">
        <v>9</v>
      </c>
      <c r="H104" s="42" t="s">
        <v>81</v>
      </c>
      <c r="J104" s="35" t="s">
        <v>86</v>
      </c>
      <c r="K104" s="35" t="str">
        <f t="shared" si="2"/>
        <v>Bioretention without UnderdrainVertical120.15200010000Pre-developed Pasture Standard</v>
      </c>
      <c r="L104" s="37" t="s">
        <v>93</v>
      </c>
    </row>
    <row r="105" spans="1:12" x14ac:dyDescent="0.25">
      <c r="A105" s="35" t="s">
        <v>140</v>
      </c>
      <c r="B105" s="35" t="s">
        <v>65</v>
      </c>
      <c r="C105" s="35">
        <v>12</v>
      </c>
      <c r="D105" s="32">
        <v>0.3</v>
      </c>
      <c r="E105" s="31">
        <v>0</v>
      </c>
      <c r="F105" s="31">
        <v>2000</v>
      </c>
      <c r="G105" s="31" t="s">
        <v>9</v>
      </c>
      <c r="H105" s="42" t="s">
        <v>81</v>
      </c>
      <c r="J105" s="35" t="s">
        <v>86</v>
      </c>
      <c r="K105" s="35" t="str">
        <f t="shared" si="2"/>
        <v>Bioretention without UnderdrainVertical120.302000Pre-developed Pasture Standard</v>
      </c>
      <c r="L105" s="37" t="s">
        <v>93</v>
      </c>
    </row>
    <row r="106" spans="1:12" x14ac:dyDescent="0.25">
      <c r="A106" s="35" t="s">
        <v>140</v>
      </c>
      <c r="B106" s="35" t="s">
        <v>65</v>
      </c>
      <c r="C106" s="35">
        <v>12</v>
      </c>
      <c r="D106" s="32">
        <v>0.3</v>
      </c>
      <c r="E106" s="31">
        <v>2000</v>
      </c>
      <c r="F106" s="31">
        <v>10000</v>
      </c>
      <c r="G106" s="31" t="s">
        <v>9</v>
      </c>
      <c r="H106" s="42" t="s">
        <v>81</v>
      </c>
      <c r="J106" s="35" t="s">
        <v>86</v>
      </c>
      <c r="K106" s="35" t="str">
        <f t="shared" si="2"/>
        <v>Bioretention without UnderdrainVertical120.3200010000Pre-developed Pasture Standard</v>
      </c>
      <c r="L106" s="37" t="s">
        <v>93</v>
      </c>
    </row>
    <row r="107" spans="1:12" x14ac:dyDescent="0.25">
      <c r="A107" s="35" t="s">
        <v>140</v>
      </c>
      <c r="B107" s="35" t="s">
        <v>65</v>
      </c>
      <c r="C107" s="35">
        <v>12</v>
      </c>
      <c r="D107" s="32">
        <v>0.6</v>
      </c>
      <c r="E107" s="31">
        <v>0</v>
      </c>
      <c r="F107" s="31">
        <v>2000</v>
      </c>
      <c r="G107" s="31" t="s">
        <v>9</v>
      </c>
      <c r="H107" s="42">
        <v>0.10199999999999999</v>
      </c>
      <c r="I107" s="42">
        <v>0</v>
      </c>
      <c r="K107" s="35" t="str">
        <f t="shared" si="2"/>
        <v>Bioretention without UnderdrainVertical120.602000Pre-developed Pasture Standard</v>
      </c>
      <c r="L107" s="37" t="s">
        <v>93</v>
      </c>
    </row>
    <row r="108" spans="1:12" x14ac:dyDescent="0.25">
      <c r="A108" s="35" t="s">
        <v>140</v>
      </c>
      <c r="B108" s="35" t="s">
        <v>65</v>
      </c>
      <c r="C108" s="35">
        <v>12</v>
      </c>
      <c r="D108" s="32">
        <v>0.6</v>
      </c>
      <c r="E108" s="31">
        <v>2000</v>
      </c>
      <c r="F108" s="31">
        <v>10000</v>
      </c>
      <c r="G108" s="31" t="s">
        <v>9</v>
      </c>
      <c r="H108" s="42">
        <v>5.8200000000000002E-2</v>
      </c>
      <c r="I108" s="42">
        <v>90.1</v>
      </c>
      <c r="K108" s="35" t="str">
        <f t="shared" si="2"/>
        <v>Bioretention without UnderdrainVertical120.6200010000Pre-developed Pasture Standard</v>
      </c>
      <c r="L108" s="37" t="s">
        <v>93</v>
      </c>
    </row>
    <row r="109" spans="1:12" x14ac:dyDescent="0.25">
      <c r="A109" s="35" t="s">
        <v>140</v>
      </c>
      <c r="B109" s="35" t="s">
        <v>65</v>
      </c>
      <c r="C109" s="35">
        <v>12</v>
      </c>
      <c r="D109" s="32">
        <v>1</v>
      </c>
      <c r="E109" s="31">
        <v>0</v>
      </c>
      <c r="F109" s="31">
        <v>2000</v>
      </c>
      <c r="G109" s="31" t="s">
        <v>9</v>
      </c>
      <c r="H109" s="42">
        <v>0.09</v>
      </c>
      <c r="I109" s="42">
        <v>0</v>
      </c>
      <c r="K109" s="35" t="str">
        <f t="shared" si="2"/>
        <v>Bioretention without UnderdrainVertical12102000Pre-developed Pasture Standard</v>
      </c>
      <c r="L109" s="37" t="s">
        <v>93</v>
      </c>
    </row>
    <row r="110" spans="1:12" x14ac:dyDescent="0.25">
      <c r="A110" s="35" t="s">
        <v>140</v>
      </c>
      <c r="B110" s="35" t="s">
        <v>65</v>
      </c>
      <c r="C110" s="35">
        <v>12</v>
      </c>
      <c r="D110" s="32">
        <v>1</v>
      </c>
      <c r="E110" s="31">
        <v>2000</v>
      </c>
      <c r="F110" s="31">
        <v>10000</v>
      </c>
      <c r="G110" s="31" t="s">
        <v>9</v>
      </c>
      <c r="H110" s="42">
        <v>5.1299999999999998E-2</v>
      </c>
      <c r="I110" s="42">
        <v>79.099999999999994</v>
      </c>
      <c r="K110" s="35" t="str">
        <f t="shared" si="2"/>
        <v>Bioretention without UnderdrainVertical121200010000Pre-developed Pasture Standard</v>
      </c>
      <c r="L110" s="37" t="s">
        <v>93</v>
      </c>
    </row>
    <row r="111" spans="1:12" x14ac:dyDescent="0.25">
      <c r="A111" s="35" t="s">
        <v>140</v>
      </c>
      <c r="B111" s="35" t="s">
        <v>65</v>
      </c>
      <c r="C111" s="35">
        <v>12</v>
      </c>
      <c r="D111" s="32">
        <v>2.5</v>
      </c>
      <c r="E111" s="31">
        <v>0</v>
      </c>
      <c r="F111" s="31">
        <v>2000</v>
      </c>
      <c r="G111" s="31" t="s">
        <v>9</v>
      </c>
      <c r="H111" s="42">
        <v>4.3999999999999997E-2</v>
      </c>
      <c r="I111" s="42">
        <v>0</v>
      </c>
      <c r="K111" s="35" t="str">
        <f t="shared" si="2"/>
        <v>Bioretention without UnderdrainVertical122.502000Pre-developed Pasture Standard</v>
      </c>
      <c r="L111" s="37" t="s">
        <v>93</v>
      </c>
    </row>
    <row r="112" spans="1:12" x14ac:dyDescent="0.25">
      <c r="A112" s="53" t="s">
        <v>140</v>
      </c>
      <c r="B112" s="53" t="s">
        <v>65</v>
      </c>
      <c r="C112" s="53">
        <v>12</v>
      </c>
      <c r="D112" s="51">
        <v>2.5</v>
      </c>
      <c r="E112" s="48">
        <v>2000</v>
      </c>
      <c r="F112" s="48">
        <v>10000</v>
      </c>
      <c r="G112" s="48" t="s">
        <v>9</v>
      </c>
      <c r="H112" s="49">
        <v>2.5499999999999998E-2</v>
      </c>
      <c r="I112" s="49">
        <v>38</v>
      </c>
      <c r="J112" s="53"/>
      <c r="K112" s="53" t="str">
        <f t="shared" si="2"/>
        <v>Bioretention without UnderdrainVertical122.5200010000Pre-developed Pasture Standard</v>
      </c>
      <c r="L112" s="37" t="s">
        <v>93</v>
      </c>
    </row>
    <row r="113" spans="1:12" x14ac:dyDescent="0.25">
      <c r="A113" s="35" t="s">
        <v>140</v>
      </c>
      <c r="B113" s="35" t="s">
        <v>65</v>
      </c>
      <c r="C113" s="35">
        <v>12</v>
      </c>
      <c r="D113" s="32">
        <v>0.15</v>
      </c>
      <c r="G113" s="31" t="s">
        <v>82</v>
      </c>
      <c r="H113" s="42" t="s">
        <v>81</v>
      </c>
      <c r="J113" s="35" t="s">
        <v>86</v>
      </c>
      <c r="K113" s="35" t="str">
        <f t="shared" si="2"/>
        <v>Bioretention without UnderdrainVertical120.15Peak Control Standard</v>
      </c>
      <c r="L113" s="37" t="s">
        <v>93</v>
      </c>
    </row>
    <row r="114" spans="1:12" x14ac:dyDescent="0.25">
      <c r="A114" s="35" t="s">
        <v>140</v>
      </c>
      <c r="B114" s="35" t="s">
        <v>65</v>
      </c>
      <c r="C114" s="35">
        <v>12</v>
      </c>
      <c r="D114" s="32">
        <v>0.3</v>
      </c>
      <c r="G114" s="31" t="s">
        <v>82</v>
      </c>
      <c r="H114" s="42" t="s">
        <v>81</v>
      </c>
      <c r="J114" s="35" t="s">
        <v>86</v>
      </c>
      <c r="K114" s="35" t="str">
        <f t="shared" si="2"/>
        <v>Bioretention without UnderdrainVertical120.3Peak Control Standard</v>
      </c>
      <c r="L114" s="37" t="s">
        <v>93</v>
      </c>
    </row>
    <row r="115" spans="1:12" x14ac:dyDescent="0.25">
      <c r="A115" s="35" t="s">
        <v>140</v>
      </c>
      <c r="B115" s="35" t="s">
        <v>65</v>
      </c>
      <c r="C115" s="35">
        <v>12</v>
      </c>
      <c r="D115" s="32">
        <v>0.6</v>
      </c>
      <c r="G115" s="31" t="s">
        <v>82</v>
      </c>
      <c r="H115" s="42">
        <v>0.112</v>
      </c>
      <c r="I115" s="42">
        <v>0</v>
      </c>
      <c r="K115" s="35" t="str">
        <f t="shared" si="2"/>
        <v>Bioretention without UnderdrainVertical120.6Peak Control Standard</v>
      </c>
      <c r="L115" s="37" t="s">
        <v>93</v>
      </c>
    </row>
    <row r="116" spans="1:12" x14ac:dyDescent="0.25">
      <c r="A116" s="35" t="s">
        <v>140</v>
      </c>
      <c r="B116" s="35" t="s">
        <v>65</v>
      </c>
      <c r="C116" s="35">
        <v>12</v>
      </c>
      <c r="D116" s="32">
        <v>1</v>
      </c>
      <c r="G116" s="31" t="s">
        <v>82</v>
      </c>
      <c r="H116" s="42">
        <v>0.10100000000000001</v>
      </c>
      <c r="I116" s="42">
        <v>0</v>
      </c>
      <c r="K116" s="35" t="str">
        <f t="shared" si="2"/>
        <v>Bioretention without UnderdrainVertical121Peak Control Standard</v>
      </c>
      <c r="L116" s="37" t="s">
        <v>93</v>
      </c>
    </row>
    <row r="117" spans="1:12" x14ac:dyDescent="0.25">
      <c r="A117" s="53" t="s">
        <v>140</v>
      </c>
      <c r="B117" s="53" t="s">
        <v>65</v>
      </c>
      <c r="C117" s="53">
        <v>12</v>
      </c>
      <c r="D117" s="51">
        <v>2.5</v>
      </c>
      <c r="E117" s="47"/>
      <c r="F117" s="47"/>
      <c r="G117" s="48" t="s">
        <v>82</v>
      </c>
      <c r="H117" s="49">
        <v>5.7000000000000002E-2</v>
      </c>
      <c r="I117" s="49">
        <v>0</v>
      </c>
      <c r="J117" s="53"/>
      <c r="K117" s="53" t="str">
        <f t="shared" si="2"/>
        <v>Bioretention without UnderdrainVertical122.5Peak Control Standard</v>
      </c>
      <c r="L117" s="37" t="s">
        <v>93</v>
      </c>
    </row>
    <row r="118" spans="1:12" x14ac:dyDescent="0.25">
      <c r="A118" s="35" t="s">
        <v>140</v>
      </c>
      <c r="B118" s="35" t="s">
        <v>65</v>
      </c>
      <c r="C118" s="35">
        <v>12</v>
      </c>
      <c r="D118" s="32">
        <v>0.15</v>
      </c>
      <c r="G118" s="31" t="s">
        <v>83</v>
      </c>
      <c r="H118" s="42" t="s">
        <v>81</v>
      </c>
      <c r="J118" s="35" t="s">
        <v>86</v>
      </c>
      <c r="K118" s="35" t="str">
        <f t="shared" si="2"/>
        <v>Bioretention without UnderdrainVertical120.15Water Quality Treatment</v>
      </c>
      <c r="L118" s="37" t="s">
        <v>93</v>
      </c>
    </row>
    <row r="119" spans="1:12" x14ac:dyDescent="0.25">
      <c r="A119" s="35" t="s">
        <v>140</v>
      </c>
      <c r="B119" s="35" t="s">
        <v>65</v>
      </c>
      <c r="C119" s="35">
        <v>12</v>
      </c>
      <c r="D119" s="32">
        <v>0.3</v>
      </c>
      <c r="G119" s="31" t="s">
        <v>83</v>
      </c>
      <c r="H119" s="42" t="s">
        <v>81</v>
      </c>
      <c r="J119" s="35" t="s">
        <v>86</v>
      </c>
      <c r="K119" s="35" t="str">
        <f>A119&amp;B119&amp;C119&amp;D119&amp;E119&amp;F119&amp;G119</f>
        <v>Bioretention without UnderdrainVertical120.3Water Quality Treatment</v>
      </c>
      <c r="L119" s="37" t="s">
        <v>93</v>
      </c>
    </row>
    <row r="120" spans="1:12" x14ac:dyDescent="0.25">
      <c r="A120" s="35" t="s">
        <v>140</v>
      </c>
      <c r="B120" s="35" t="s">
        <v>65</v>
      </c>
      <c r="C120" s="35">
        <v>12</v>
      </c>
      <c r="D120" s="32">
        <v>0.6</v>
      </c>
      <c r="G120" s="31" t="s">
        <v>83</v>
      </c>
      <c r="H120" s="42">
        <v>3.5999999999999997E-2</v>
      </c>
      <c r="I120" s="42">
        <v>0</v>
      </c>
      <c r="K120" s="35" t="str">
        <f t="shared" si="2"/>
        <v>Bioretention without UnderdrainVertical120.6Water Quality Treatment</v>
      </c>
      <c r="L120" s="37" t="s">
        <v>93</v>
      </c>
    </row>
    <row r="121" spans="1:12" x14ac:dyDescent="0.25">
      <c r="A121" s="35" t="s">
        <v>140</v>
      </c>
      <c r="B121" s="35" t="s">
        <v>65</v>
      </c>
      <c r="C121" s="35">
        <v>12</v>
      </c>
      <c r="D121" s="32">
        <v>1</v>
      </c>
      <c r="G121" s="31" t="s">
        <v>83</v>
      </c>
      <c r="H121" s="42">
        <v>3.2000000000000001E-2</v>
      </c>
      <c r="I121" s="42">
        <v>0</v>
      </c>
      <c r="K121" s="35" t="str">
        <f t="shared" si="2"/>
        <v>Bioretention without UnderdrainVertical121Water Quality Treatment</v>
      </c>
      <c r="L121" s="37" t="s">
        <v>93</v>
      </c>
    </row>
    <row r="122" spans="1:12" x14ac:dyDescent="0.25">
      <c r="A122" s="35" t="s">
        <v>140</v>
      </c>
      <c r="B122" s="35" t="s">
        <v>65</v>
      </c>
      <c r="C122" s="35">
        <v>12</v>
      </c>
      <c r="D122" s="32">
        <v>2.5</v>
      </c>
      <c r="G122" s="31" t="s">
        <v>83</v>
      </c>
      <c r="H122" s="42">
        <v>1.6E-2</v>
      </c>
      <c r="I122" s="42">
        <v>0</v>
      </c>
      <c r="K122" s="35" t="str">
        <f t="shared" si="2"/>
        <v>Bioretention without UnderdrainVertical122.5Water Quality Treatment</v>
      </c>
      <c r="L122" s="37" t="s">
        <v>93</v>
      </c>
    </row>
    <row r="123" spans="1:12" s="62" customFormat="1" x14ac:dyDescent="0.25">
      <c r="A123" s="61"/>
      <c r="B123" s="61"/>
      <c r="C123" s="61"/>
      <c r="D123" s="63"/>
      <c r="E123" s="64"/>
      <c r="F123" s="64"/>
      <c r="G123" s="65"/>
      <c r="H123" s="66"/>
      <c r="I123" s="66"/>
      <c r="J123" s="61"/>
      <c r="K123" s="61"/>
    </row>
    <row r="124" spans="1:12" x14ac:dyDescent="0.25">
      <c r="A124" s="73" t="s">
        <v>122</v>
      </c>
      <c r="B124" s="53"/>
      <c r="C124" s="53"/>
      <c r="D124" s="51"/>
      <c r="E124" s="47"/>
      <c r="F124" s="47"/>
      <c r="G124" s="48"/>
      <c r="H124" s="49"/>
      <c r="I124" s="49"/>
      <c r="J124" s="53"/>
      <c r="K124" s="53"/>
    </row>
    <row r="125" spans="1:12" ht="60" x14ac:dyDescent="0.25">
      <c r="A125" s="56" t="s">
        <v>79</v>
      </c>
      <c r="B125" s="56"/>
      <c r="C125" s="56" t="s">
        <v>95</v>
      </c>
      <c r="D125" s="56" t="s">
        <v>97</v>
      </c>
      <c r="E125" s="71" t="s">
        <v>134</v>
      </c>
      <c r="F125" s="71" t="s">
        <v>135</v>
      </c>
      <c r="G125" s="56" t="s">
        <v>90</v>
      </c>
      <c r="H125" s="56" t="s">
        <v>84</v>
      </c>
      <c r="I125" s="56" t="s">
        <v>85</v>
      </c>
      <c r="J125" s="56" t="s">
        <v>87</v>
      </c>
      <c r="K125" s="56" t="s">
        <v>91</v>
      </c>
    </row>
    <row r="126" spans="1:12" x14ac:dyDescent="0.25">
      <c r="A126" s="61" t="s">
        <v>36</v>
      </c>
      <c r="B126" s="61"/>
      <c r="C126" s="62">
        <v>1.5</v>
      </c>
      <c r="D126" s="63">
        <v>1</v>
      </c>
      <c r="E126" s="64">
        <v>0</v>
      </c>
      <c r="F126" s="64">
        <v>2000</v>
      </c>
      <c r="G126" s="65" t="s">
        <v>9</v>
      </c>
      <c r="H126" s="66">
        <v>0.12</v>
      </c>
      <c r="I126" s="66">
        <v>0</v>
      </c>
      <c r="J126" s="61"/>
      <c r="K126" s="61" t="str">
        <f>A126&amp;C126&amp;D126&amp;E126&amp;F126&amp;G126</f>
        <v>Infiltration Trench1.5102000Pre-developed Pasture Standard</v>
      </c>
    </row>
    <row r="127" spans="1:12" x14ac:dyDescent="0.25">
      <c r="A127" s="35" t="s">
        <v>36</v>
      </c>
      <c r="C127" s="37">
        <v>1.5</v>
      </c>
      <c r="D127" s="32">
        <v>1</v>
      </c>
      <c r="E127" s="36">
        <v>2000</v>
      </c>
      <c r="F127" s="36">
        <v>10000</v>
      </c>
      <c r="G127" s="31" t="s">
        <v>9</v>
      </c>
      <c r="H127" s="42">
        <v>7.6399999999999996E-2</v>
      </c>
      <c r="I127" s="42">
        <v>56.3</v>
      </c>
      <c r="K127" s="35" t="str">
        <f t="shared" ref="K127:K141" si="3">A127&amp;B127&amp;C127&amp;D127&amp;E127&amp;F127&amp;G127</f>
        <v>Infiltration Trench1.51200010000Pre-developed Pasture Standard</v>
      </c>
    </row>
    <row r="128" spans="1:12" x14ac:dyDescent="0.25">
      <c r="A128" s="35" t="s">
        <v>36</v>
      </c>
      <c r="C128" s="37">
        <v>1.5</v>
      </c>
      <c r="D128" s="32">
        <v>2.5</v>
      </c>
      <c r="E128" s="36">
        <v>0</v>
      </c>
      <c r="F128" s="36">
        <v>2000</v>
      </c>
      <c r="G128" s="31" t="s">
        <v>9</v>
      </c>
      <c r="H128" s="42">
        <v>5.3999999999999999E-2</v>
      </c>
      <c r="I128" s="42">
        <v>0</v>
      </c>
      <c r="K128" s="35" t="str">
        <f t="shared" si="3"/>
        <v>Infiltration Trench1.52.502000Pre-developed Pasture Standard</v>
      </c>
    </row>
    <row r="129" spans="1:11" x14ac:dyDescent="0.25">
      <c r="A129" s="53" t="s">
        <v>36</v>
      </c>
      <c r="B129" s="53"/>
      <c r="C129" s="67">
        <v>1.5</v>
      </c>
      <c r="D129" s="51">
        <v>2.5</v>
      </c>
      <c r="E129" s="47">
        <v>2000</v>
      </c>
      <c r="F129" s="47">
        <v>10000</v>
      </c>
      <c r="G129" s="48" t="s">
        <v>9</v>
      </c>
      <c r="H129" s="49">
        <v>3.1099999999999999E-2</v>
      </c>
      <c r="I129" s="49">
        <v>47.2</v>
      </c>
      <c r="J129" s="53"/>
      <c r="K129" s="53" t="str">
        <f t="shared" si="3"/>
        <v>Infiltration Trench1.52.5200010000Pre-developed Pasture Standard</v>
      </c>
    </row>
    <row r="130" spans="1:11" x14ac:dyDescent="0.25">
      <c r="A130" s="61" t="s">
        <v>36</v>
      </c>
      <c r="B130" s="61"/>
      <c r="C130" s="62">
        <v>1.5</v>
      </c>
      <c r="D130" s="63">
        <v>1</v>
      </c>
      <c r="E130" s="64"/>
      <c r="F130" s="64"/>
      <c r="G130" s="65" t="s">
        <v>82</v>
      </c>
      <c r="H130" s="66">
        <v>0.161</v>
      </c>
      <c r="I130" s="66">
        <v>0</v>
      </c>
      <c r="J130" s="61"/>
      <c r="K130" s="61" t="str">
        <f t="shared" si="3"/>
        <v>Infiltration Trench1.51Peak Control Standard</v>
      </c>
    </row>
    <row r="131" spans="1:11" x14ac:dyDescent="0.25">
      <c r="A131" s="53" t="s">
        <v>36</v>
      </c>
      <c r="B131" s="53"/>
      <c r="C131" s="67">
        <v>1.5</v>
      </c>
      <c r="D131" s="51">
        <v>2.5</v>
      </c>
      <c r="E131" s="47"/>
      <c r="F131" s="47"/>
      <c r="G131" s="48" t="s">
        <v>82</v>
      </c>
      <c r="H131" s="49">
        <v>8.3000000000000004E-2</v>
      </c>
      <c r="I131" s="49">
        <v>0</v>
      </c>
      <c r="J131" s="53"/>
      <c r="K131" s="53" t="str">
        <f t="shared" si="3"/>
        <v>Infiltration Trench1.52.5Peak Control Standard</v>
      </c>
    </row>
    <row r="132" spans="1:11" x14ac:dyDescent="0.25">
      <c r="A132" s="61" t="s">
        <v>36</v>
      </c>
      <c r="B132" s="61"/>
      <c r="C132" s="62">
        <v>1.5</v>
      </c>
      <c r="D132" s="63">
        <v>1</v>
      </c>
      <c r="E132" s="64"/>
      <c r="F132" s="64"/>
      <c r="G132" s="65" t="s">
        <v>83</v>
      </c>
      <c r="H132" s="66">
        <v>0.05</v>
      </c>
      <c r="I132" s="66">
        <v>0</v>
      </c>
      <c r="J132" s="61"/>
      <c r="K132" s="61" t="str">
        <f t="shared" si="3"/>
        <v>Infiltration Trench1.51Water Quality Treatment</v>
      </c>
    </row>
    <row r="133" spans="1:11" x14ac:dyDescent="0.25">
      <c r="A133" s="53" t="s">
        <v>36</v>
      </c>
      <c r="B133" s="53"/>
      <c r="C133" s="67">
        <v>1.5</v>
      </c>
      <c r="D133" s="51">
        <v>2.5</v>
      </c>
      <c r="E133" s="47"/>
      <c r="F133" s="47"/>
      <c r="G133" s="48" t="s">
        <v>83</v>
      </c>
      <c r="H133" s="49">
        <v>2.1999999999999999E-2</v>
      </c>
      <c r="I133" s="49">
        <v>0</v>
      </c>
      <c r="J133" s="53"/>
      <c r="K133" s="53" t="str">
        <f t="shared" si="3"/>
        <v>Infiltration Trench1.52.5Water Quality Treatment</v>
      </c>
    </row>
    <row r="134" spans="1:11" x14ac:dyDescent="0.25">
      <c r="A134" s="61" t="s">
        <v>36</v>
      </c>
      <c r="C134" s="37">
        <v>3</v>
      </c>
      <c r="D134" s="63">
        <v>1</v>
      </c>
      <c r="E134" s="64">
        <v>0</v>
      </c>
      <c r="F134" s="64">
        <v>2000</v>
      </c>
      <c r="G134" s="65" t="s">
        <v>9</v>
      </c>
      <c r="H134" s="42">
        <v>8.4000000000000005E-2</v>
      </c>
      <c r="I134" s="42">
        <v>0</v>
      </c>
      <c r="K134" s="35" t="str">
        <f t="shared" si="3"/>
        <v>Infiltration Trench3102000Pre-developed Pasture Standard</v>
      </c>
    </row>
    <row r="135" spans="1:11" x14ac:dyDescent="0.25">
      <c r="A135" s="35" t="s">
        <v>36</v>
      </c>
      <c r="C135" s="37">
        <v>3</v>
      </c>
      <c r="D135" s="32">
        <v>1</v>
      </c>
      <c r="E135" s="36">
        <v>2000</v>
      </c>
      <c r="F135" s="36">
        <v>10000</v>
      </c>
      <c r="G135" s="31" t="s">
        <v>9</v>
      </c>
      <c r="H135" s="42">
        <v>5.4199999999999998E-2</v>
      </c>
      <c r="I135" s="42">
        <v>61.4</v>
      </c>
      <c r="K135" s="35" t="str">
        <f t="shared" si="3"/>
        <v>Infiltration Trench31200010000Pre-developed Pasture Standard</v>
      </c>
    </row>
    <row r="136" spans="1:11" x14ac:dyDescent="0.25">
      <c r="A136" s="35" t="s">
        <v>36</v>
      </c>
      <c r="C136" s="37">
        <v>3</v>
      </c>
      <c r="D136" s="32">
        <v>2.5</v>
      </c>
      <c r="E136" s="36">
        <v>0</v>
      </c>
      <c r="F136" s="36">
        <v>2000</v>
      </c>
      <c r="G136" s="31" t="s">
        <v>9</v>
      </c>
      <c r="H136" s="42">
        <v>3.7999999999999999E-2</v>
      </c>
      <c r="I136" s="42">
        <v>0</v>
      </c>
      <c r="K136" s="35" t="str">
        <f t="shared" si="3"/>
        <v>Infiltration Trench32.502000Pre-developed Pasture Standard</v>
      </c>
    </row>
    <row r="137" spans="1:11" x14ac:dyDescent="0.25">
      <c r="A137" s="53" t="s">
        <v>36</v>
      </c>
      <c r="B137" s="53"/>
      <c r="C137" s="67">
        <v>3</v>
      </c>
      <c r="D137" s="51">
        <v>2.5</v>
      </c>
      <c r="E137" s="47">
        <v>2000</v>
      </c>
      <c r="F137" s="47">
        <v>10000</v>
      </c>
      <c r="G137" s="48" t="s">
        <v>9</v>
      </c>
      <c r="H137" s="49">
        <v>2.41E-2</v>
      </c>
      <c r="I137" s="49">
        <v>27.7</v>
      </c>
      <c r="J137" s="53"/>
      <c r="K137" s="53" t="str">
        <f t="shared" si="3"/>
        <v>Infiltration Trench32.5200010000Pre-developed Pasture Standard</v>
      </c>
    </row>
    <row r="138" spans="1:11" x14ac:dyDescent="0.25">
      <c r="A138" s="35" t="s">
        <v>36</v>
      </c>
      <c r="C138" s="37">
        <v>3</v>
      </c>
      <c r="D138" s="32">
        <v>1</v>
      </c>
      <c r="G138" s="31" t="s">
        <v>82</v>
      </c>
      <c r="H138" s="42">
        <v>0.11</v>
      </c>
      <c r="I138" s="42">
        <v>0</v>
      </c>
      <c r="K138" s="35" t="str">
        <f t="shared" si="3"/>
        <v>Infiltration Trench31Peak Control Standard</v>
      </c>
    </row>
    <row r="139" spans="1:11" x14ac:dyDescent="0.25">
      <c r="A139" s="53" t="s">
        <v>36</v>
      </c>
      <c r="B139" s="53"/>
      <c r="C139" s="67">
        <v>3</v>
      </c>
      <c r="D139" s="51">
        <v>2.5</v>
      </c>
      <c r="E139" s="47"/>
      <c r="F139" s="47"/>
      <c r="G139" s="48" t="s">
        <v>82</v>
      </c>
      <c r="H139" s="49">
        <v>0.06</v>
      </c>
      <c r="I139" s="49">
        <v>0</v>
      </c>
      <c r="J139" s="53"/>
      <c r="K139" s="53" t="str">
        <f t="shared" si="3"/>
        <v>Infiltration Trench32.5Peak Control Standard</v>
      </c>
    </row>
    <row r="140" spans="1:11" x14ac:dyDescent="0.25">
      <c r="A140" s="35" t="s">
        <v>36</v>
      </c>
      <c r="C140" s="37">
        <v>3</v>
      </c>
      <c r="D140" s="32">
        <v>1</v>
      </c>
      <c r="G140" s="31" t="s">
        <v>83</v>
      </c>
      <c r="H140" s="42">
        <v>3.5000000000000003E-2</v>
      </c>
      <c r="I140" s="42">
        <v>0</v>
      </c>
      <c r="K140" s="35" t="str">
        <f t="shared" si="3"/>
        <v>Infiltration Trench31Water Quality Treatment</v>
      </c>
    </row>
    <row r="141" spans="1:11" x14ac:dyDescent="0.25">
      <c r="A141" s="53" t="s">
        <v>36</v>
      </c>
      <c r="B141" s="53"/>
      <c r="C141" s="67">
        <v>3</v>
      </c>
      <c r="D141" s="51">
        <v>2.5</v>
      </c>
      <c r="E141" s="47"/>
      <c r="F141" s="47"/>
      <c r="G141" s="48" t="s">
        <v>83</v>
      </c>
      <c r="H141" s="49">
        <v>1.6E-2</v>
      </c>
      <c r="I141" s="49">
        <v>0</v>
      </c>
      <c r="J141" s="53"/>
      <c r="K141" s="53" t="str">
        <f t="shared" si="3"/>
        <v>Infiltration Trench32.5Water Quality Treatment</v>
      </c>
    </row>
    <row r="142" spans="1:11" s="62" customFormat="1" x14ac:dyDescent="0.25">
      <c r="A142" s="61"/>
      <c r="B142" s="61"/>
      <c r="C142" s="61"/>
      <c r="D142" s="63"/>
      <c r="E142" s="64"/>
      <c r="F142" s="64"/>
      <c r="G142" s="65"/>
      <c r="H142" s="66"/>
      <c r="I142" s="66"/>
      <c r="J142" s="61"/>
      <c r="K142" s="61"/>
    </row>
    <row r="143" spans="1:11" x14ac:dyDescent="0.25">
      <c r="A143" s="73" t="s">
        <v>123</v>
      </c>
      <c r="B143" s="53"/>
      <c r="C143" s="53"/>
      <c r="D143" s="51"/>
      <c r="E143" s="47"/>
      <c r="F143" s="47"/>
      <c r="G143" s="48"/>
      <c r="H143" s="49"/>
      <c r="I143" s="49"/>
      <c r="J143" s="53"/>
      <c r="K143" s="53"/>
    </row>
    <row r="144" spans="1:11" ht="60" x14ac:dyDescent="0.25">
      <c r="A144" s="56" t="s">
        <v>79</v>
      </c>
      <c r="B144" s="56"/>
      <c r="C144" s="56" t="s">
        <v>95</v>
      </c>
      <c r="D144" s="56" t="s">
        <v>97</v>
      </c>
      <c r="E144" s="71" t="s">
        <v>134</v>
      </c>
      <c r="F144" s="71" t="s">
        <v>135</v>
      </c>
      <c r="G144" s="56" t="s">
        <v>90</v>
      </c>
      <c r="H144" s="56" t="s">
        <v>84</v>
      </c>
      <c r="I144" s="56" t="s">
        <v>85</v>
      </c>
      <c r="J144" s="56" t="s">
        <v>87</v>
      </c>
      <c r="K144" s="56" t="s">
        <v>91</v>
      </c>
    </row>
    <row r="145" spans="1:11" x14ac:dyDescent="0.25">
      <c r="A145" s="37" t="s">
        <v>98</v>
      </c>
      <c r="C145" s="37">
        <v>4</v>
      </c>
      <c r="D145" s="32">
        <v>1</v>
      </c>
      <c r="E145" s="36">
        <v>0</v>
      </c>
      <c r="F145" s="36">
        <v>2000</v>
      </c>
      <c r="G145" s="35" t="s">
        <v>9</v>
      </c>
      <c r="H145" s="42">
        <v>7.0000000000000007E-2</v>
      </c>
      <c r="I145" s="42">
        <v>0</v>
      </c>
      <c r="K145" s="35" t="str">
        <f t="shared" ref="K145:K217" si="4">A145&amp;B145&amp;C145&amp;D145&amp;E145&amp;F145&amp;G145</f>
        <v>Drywell4102000Pre-developed Pasture Standard</v>
      </c>
    </row>
    <row r="146" spans="1:11" x14ac:dyDescent="0.25">
      <c r="A146" s="37" t="s">
        <v>98</v>
      </c>
      <c r="C146" s="35">
        <v>4</v>
      </c>
      <c r="D146" s="32">
        <v>1</v>
      </c>
      <c r="E146" s="36">
        <v>2000</v>
      </c>
      <c r="F146" s="36">
        <v>10000</v>
      </c>
      <c r="G146" s="35" t="s">
        <v>9</v>
      </c>
      <c r="H146" s="42">
        <v>4.6300000000000001E-2</v>
      </c>
      <c r="I146" s="42">
        <v>49.1</v>
      </c>
      <c r="K146" s="35" t="str">
        <f t="shared" si="4"/>
        <v>Drywell41200010000Pre-developed Pasture Standard</v>
      </c>
    </row>
    <row r="147" spans="1:11" x14ac:dyDescent="0.25">
      <c r="A147" s="37" t="s">
        <v>98</v>
      </c>
      <c r="C147" s="35">
        <v>4</v>
      </c>
      <c r="D147" s="32">
        <v>2.5</v>
      </c>
      <c r="E147" s="36">
        <v>0</v>
      </c>
      <c r="F147" s="36">
        <v>2000</v>
      </c>
      <c r="G147" s="35" t="s">
        <v>9</v>
      </c>
      <c r="H147" s="42">
        <v>3.1E-2</v>
      </c>
      <c r="I147" s="42">
        <v>0</v>
      </c>
      <c r="K147" s="35" t="str">
        <f t="shared" si="4"/>
        <v>Drywell42.502000Pre-developed Pasture Standard</v>
      </c>
    </row>
    <row r="148" spans="1:11" x14ac:dyDescent="0.25">
      <c r="A148" s="67" t="s">
        <v>98</v>
      </c>
      <c r="B148" s="53"/>
      <c r="C148" s="53">
        <v>4</v>
      </c>
      <c r="D148" s="51">
        <v>2.5</v>
      </c>
      <c r="E148" s="47">
        <v>2000</v>
      </c>
      <c r="F148" s="47">
        <v>10000</v>
      </c>
      <c r="G148" s="53" t="s">
        <v>9</v>
      </c>
      <c r="H148" s="49">
        <v>2.12E-2</v>
      </c>
      <c r="I148" s="49">
        <v>20.2</v>
      </c>
      <c r="J148" s="53"/>
      <c r="K148" s="53" t="str">
        <f t="shared" si="4"/>
        <v>Drywell42.5200010000Pre-developed Pasture Standard</v>
      </c>
    </row>
    <row r="149" spans="1:11" x14ac:dyDescent="0.25">
      <c r="A149" s="37" t="s">
        <v>98</v>
      </c>
      <c r="C149" s="37">
        <v>4</v>
      </c>
      <c r="D149" s="32">
        <v>1</v>
      </c>
      <c r="G149" s="35" t="s">
        <v>82</v>
      </c>
      <c r="H149" s="42">
        <v>9.1999999999999998E-2</v>
      </c>
      <c r="I149" s="42">
        <v>0</v>
      </c>
      <c r="K149" s="35" t="str">
        <f t="shared" si="4"/>
        <v>Drywell41Peak Control Standard</v>
      </c>
    </row>
    <row r="150" spans="1:11" x14ac:dyDescent="0.25">
      <c r="A150" s="67" t="s">
        <v>98</v>
      </c>
      <c r="B150" s="53"/>
      <c r="C150" s="67">
        <v>4</v>
      </c>
      <c r="D150" s="51">
        <v>2.5</v>
      </c>
      <c r="E150" s="47"/>
      <c r="F150" s="47"/>
      <c r="G150" s="53" t="s">
        <v>82</v>
      </c>
      <c r="H150" s="49">
        <v>5.0999999999999997E-2</v>
      </c>
      <c r="I150" s="49">
        <v>0</v>
      </c>
      <c r="J150" s="53"/>
      <c r="K150" s="53" t="str">
        <f t="shared" si="4"/>
        <v>Drywell42.5Peak Control Standard</v>
      </c>
    </row>
    <row r="151" spans="1:11" x14ac:dyDescent="0.25">
      <c r="A151" s="37" t="s">
        <v>98</v>
      </c>
      <c r="C151" s="37">
        <v>6</v>
      </c>
      <c r="D151" s="32">
        <v>1</v>
      </c>
      <c r="E151" s="36">
        <v>0</v>
      </c>
      <c r="F151" s="36">
        <v>2000</v>
      </c>
      <c r="G151" s="35" t="s">
        <v>9</v>
      </c>
      <c r="H151" s="42">
        <v>4.2999999999999997E-2</v>
      </c>
      <c r="I151" s="42">
        <v>0</v>
      </c>
      <c r="K151" s="35" t="str">
        <f t="shared" si="4"/>
        <v>Drywell6102000Pre-developed Pasture Standard</v>
      </c>
    </row>
    <row r="152" spans="1:11" x14ac:dyDescent="0.25">
      <c r="A152" s="37" t="s">
        <v>98</v>
      </c>
      <c r="C152" s="37">
        <v>6</v>
      </c>
      <c r="D152" s="32">
        <v>1</v>
      </c>
      <c r="E152" s="36">
        <v>2000</v>
      </c>
      <c r="F152" s="36">
        <v>10000</v>
      </c>
      <c r="G152" s="35" t="s">
        <v>9</v>
      </c>
      <c r="H152" s="42">
        <v>3.2000000000000001E-2</v>
      </c>
      <c r="I152" s="42">
        <v>22.5</v>
      </c>
      <c r="K152" s="35" t="str">
        <f t="shared" si="4"/>
        <v>Drywell61200010000Pre-developed Pasture Standard</v>
      </c>
    </row>
    <row r="153" spans="1:11" x14ac:dyDescent="0.25">
      <c r="A153" s="37" t="s">
        <v>98</v>
      </c>
      <c r="C153" s="37">
        <v>6</v>
      </c>
      <c r="D153" s="32">
        <v>2.5</v>
      </c>
      <c r="E153" s="36">
        <v>0</v>
      </c>
      <c r="F153" s="36">
        <v>2000</v>
      </c>
      <c r="G153" s="35" t="s">
        <v>9</v>
      </c>
      <c r="H153" s="42">
        <v>2.1999999999999999E-2</v>
      </c>
      <c r="I153" s="42">
        <v>0</v>
      </c>
      <c r="K153" s="35" t="str">
        <f t="shared" si="4"/>
        <v>Drywell62.502000Pre-developed Pasture Standard</v>
      </c>
    </row>
    <row r="154" spans="1:11" x14ac:dyDescent="0.25">
      <c r="A154" s="67" t="s">
        <v>98</v>
      </c>
      <c r="B154" s="53"/>
      <c r="C154" s="67">
        <v>6</v>
      </c>
      <c r="D154" s="51">
        <v>2.5</v>
      </c>
      <c r="E154" s="47">
        <v>2000</v>
      </c>
      <c r="F154" s="47">
        <v>10000</v>
      </c>
      <c r="G154" s="53" t="s">
        <v>9</v>
      </c>
      <c r="H154" s="49">
        <v>1.72E-2</v>
      </c>
      <c r="I154" s="49">
        <v>10.4</v>
      </c>
      <c r="J154" s="53"/>
      <c r="K154" s="53" t="str">
        <f t="shared" si="4"/>
        <v>Drywell62.5200010000Pre-developed Pasture Standard</v>
      </c>
    </row>
    <row r="155" spans="1:11" x14ac:dyDescent="0.25">
      <c r="A155" s="37" t="s">
        <v>98</v>
      </c>
      <c r="C155" s="37">
        <v>6</v>
      </c>
      <c r="D155" s="32">
        <v>1</v>
      </c>
      <c r="G155" s="35" t="s">
        <v>82</v>
      </c>
      <c r="H155" s="42">
        <v>6.4000000000000001E-2</v>
      </c>
      <c r="I155" s="42">
        <v>0</v>
      </c>
      <c r="K155" s="35" t="str">
        <f t="shared" si="4"/>
        <v>Drywell61Peak Control Standard</v>
      </c>
    </row>
    <row r="156" spans="1:11" x14ac:dyDescent="0.25">
      <c r="A156" s="67" t="s">
        <v>98</v>
      </c>
      <c r="B156" s="53"/>
      <c r="C156" s="67">
        <v>6</v>
      </c>
      <c r="D156" s="51">
        <v>2.5</v>
      </c>
      <c r="E156" s="47"/>
      <c r="F156" s="47"/>
      <c r="G156" s="53" t="s">
        <v>82</v>
      </c>
      <c r="H156" s="49">
        <v>3.9E-2</v>
      </c>
      <c r="I156" s="49">
        <v>0</v>
      </c>
      <c r="J156" s="53"/>
      <c r="K156" s="53" t="str">
        <f t="shared" si="4"/>
        <v>Drywell62.5Peak Control Standard</v>
      </c>
    </row>
    <row r="157" spans="1:11" s="62" customFormat="1" x14ac:dyDescent="0.25">
      <c r="A157" s="61"/>
      <c r="B157" s="61"/>
      <c r="C157" s="61"/>
      <c r="D157" s="63"/>
      <c r="E157" s="64"/>
      <c r="F157" s="64"/>
      <c r="G157" s="65"/>
      <c r="H157" s="66"/>
      <c r="I157" s="66"/>
      <c r="J157" s="61"/>
      <c r="K157" s="61"/>
    </row>
    <row r="158" spans="1:11" x14ac:dyDescent="0.25">
      <c r="A158" s="73" t="s">
        <v>124</v>
      </c>
      <c r="B158" s="53"/>
      <c r="C158" s="53"/>
      <c r="D158" s="51"/>
      <c r="E158" s="47"/>
      <c r="F158" s="47"/>
      <c r="G158" s="48"/>
      <c r="H158" s="49"/>
      <c r="I158" s="49"/>
      <c r="J158" s="53"/>
      <c r="K158" s="53"/>
    </row>
    <row r="159" spans="1:11" ht="60" x14ac:dyDescent="0.25">
      <c r="A159" s="56" t="s">
        <v>79</v>
      </c>
      <c r="B159" s="56"/>
      <c r="C159" s="56" t="s">
        <v>100</v>
      </c>
      <c r="D159" s="56" t="s">
        <v>97</v>
      </c>
      <c r="E159" s="71" t="s">
        <v>134</v>
      </c>
      <c r="F159" s="71" t="s">
        <v>135</v>
      </c>
      <c r="G159" s="56" t="s">
        <v>90</v>
      </c>
      <c r="H159" s="56" t="s">
        <v>84</v>
      </c>
      <c r="I159" s="56" t="s">
        <v>85</v>
      </c>
      <c r="J159" s="56" t="s">
        <v>44</v>
      </c>
      <c r="K159" s="56" t="s">
        <v>91</v>
      </c>
    </row>
    <row r="160" spans="1:11" x14ac:dyDescent="0.25">
      <c r="A160" s="35" t="s">
        <v>25</v>
      </c>
      <c r="C160" s="37">
        <v>6</v>
      </c>
      <c r="D160" s="32">
        <v>0.15</v>
      </c>
      <c r="E160" s="36">
        <v>0</v>
      </c>
      <c r="F160" s="36">
        <v>2000</v>
      </c>
      <c r="G160" s="35" t="s">
        <v>9</v>
      </c>
      <c r="H160" s="42">
        <v>1.3260000000000001</v>
      </c>
      <c r="I160" s="42">
        <v>0</v>
      </c>
      <c r="K160" s="35" t="str">
        <f t="shared" si="4"/>
        <v>Permeable Pavement Facility60.1502000Pre-developed Pasture Standard</v>
      </c>
    </row>
    <row r="161" spans="1:11" x14ac:dyDescent="0.25">
      <c r="A161" s="35" t="s">
        <v>25</v>
      </c>
      <c r="C161" s="37">
        <v>6</v>
      </c>
      <c r="D161" s="32">
        <v>0.15</v>
      </c>
      <c r="E161" s="36">
        <v>2000</v>
      </c>
      <c r="F161" s="36">
        <v>10000</v>
      </c>
      <c r="G161" s="35" t="s">
        <v>9</v>
      </c>
      <c r="H161" s="42">
        <v>0.48420000000000002</v>
      </c>
      <c r="I161" s="42">
        <v>1651.1</v>
      </c>
      <c r="K161" s="35" t="str">
        <f t="shared" si="4"/>
        <v>Permeable Pavement Facility60.15200010000Pre-developed Pasture Standard</v>
      </c>
    </row>
    <row r="162" spans="1:11" x14ac:dyDescent="0.25">
      <c r="A162" s="35" t="s">
        <v>25</v>
      </c>
      <c r="C162" s="37">
        <v>6</v>
      </c>
      <c r="D162" s="32">
        <v>0.3</v>
      </c>
      <c r="E162" s="36">
        <v>0</v>
      </c>
      <c r="F162" s="36">
        <v>2000</v>
      </c>
      <c r="G162" s="35" t="s">
        <v>9</v>
      </c>
      <c r="H162" s="42">
        <v>0.998</v>
      </c>
      <c r="I162" s="42">
        <v>0</v>
      </c>
      <c r="K162" s="35" t="str">
        <f t="shared" si="4"/>
        <v>Permeable Pavement Facility60.302000Pre-developed Pasture Standard</v>
      </c>
    </row>
    <row r="163" spans="1:11" x14ac:dyDescent="0.25">
      <c r="A163" s="35" t="s">
        <v>25</v>
      </c>
      <c r="C163" s="37">
        <v>6</v>
      </c>
      <c r="D163" s="32">
        <v>0.3</v>
      </c>
      <c r="E163" s="36">
        <v>2000</v>
      </c>
      <c r="F163" s="36">
        <v>10000</v>
      </c>
      <c r="G163" s="35" t="s">
        <v>9</v>
      </c>
      <c r="H163" s="42">
        <v>0.375</v>
      </c>
      <c r="I163" s="42">
        <v>1223.9000000000001</v>
      </c>
      <c r="K163" s="35" t="str">
        <f t="shared" si="4"/>
        <v>Permeable Pavement Facility60.3200010000Pre-developed Pasture Standard</v>
      </c>
    </row>
    <row r="164" spans="1:11" x14ac:dyDescent="0.25">
      <c r="A164" s="35" t="s">
        <v>25</v>
      </c>
      <c r="C164" s="37">
        <v>6</v>
      </c>
      <c r="D164" s="32">
        <v>0.6</v>
      </c>
      <c r="E164" s="36">
        <v>0</v>
      </c>
      <c r="F164" s="36">
        <v>2000</v>
      </c>
      <c r="G164" s="35" t="s">
        <v>9</v>
      </c>
      <c r="H164" s="42">
        <v>0.34100000000000003</v>
      </c>
      <c r="I164" s="42">
        <v>0</v>
      </c>
      <c r="K164" s="35" t="str">
        <f t="shared" si="4"/>
        <v>Permeable Pavement Facility60.602000Pre-developed Pasture Standard</v>
      </c>
    </row>
    <row r="165" spans="1:11" x14ac:dyDescent="0.25">
      <c r="A165" s="35" t="s">
        <v>25</v>
      </c>
      <c r="C165" s="37">
        <v>6</v>
      </c>
      <c r="D165" s="32">
        <v>0.6</v>
      </c>
      <c r="E165" s="36">
        <v>2000</v>
      </c>
      <c r="F165" s="36">
        <v>10000</v>
      </c>
      <c r="G165" s="35" t="s">
        <v>9</v>
      </c>
      <c r="H165" s="42">
        <v>0.15679999999999999</v>
      </c>
      <c r="I165" s="42">
        <v>369.4</v>
      </c>
      <c r="K165" s="35" t="str">
        <f t="shared" si="4"/>
        <v>Permeable Pavement Facility60.6200010000Pre-developed Pasture Standard</v>
      </c>
    </row>
    <row r="166" spans="1:11" x14ac:dyDescent="0.25">
      <c r="A166" s="35" t="s">
        <v>25</v>
      </c>
      <c r="C166" s="37">
        <v>6</v>
      </c>
      <c r="D166" s="32">
        <v>1</v>
      </c>
      <c r="E166" s="36">
        <v>0</v>
      </c>
      <c r="F166" s="36">
        <v>2000</v>
      </c>
      <c r="G166" s="35" t="s">
        <v>9</v>
      </c>
      <c r="H166" s="42">
        <v>0.29199999999999998</v>
      </c>
      <c r="I166" s="42">
        <v>0</v>
      </c>
      <c r="K166" s="35" t="str">
        <f t="shared" si="4"/>
        <v>Permeable Pavement Facility6102000Pre-developed Pasture Standard</v>
      </c>
    </row>
    <row r="167" spans="1:11" x14ac:dyDescent="0.25">
      <c r="A167" s="35" t="s">
        <v>25</v>
      </c>
      <c r="C167" s="37">
        <v>6</v>
      </c>
      <c r="D167" s="32">
        <v>1</v>
      </c>
      <c r="E167" s="36">
        <v>2000</v>
      </c>
      <c r="F167" s="36">
        <v>10000</v>
      </c>
      <c r="G167" s="35" t="s">
        <v>9</v>
      </c>
      <c r="H167" s="42">
        <v>0.13489999999999999</v>
      </c>
      <c r="I167" s="42">
        <v>314.89999999999998</v>
      </c>
      <c r="K167" s="35" t="str">
        <f t="shared" si="4"/>
        <v>Permeable Pavement Facility61200010000Pre-developed Pasture Standard</v>
      </c>
    </row>
    <row r="168" spans="1:11" x14ac:dyDescent="0.25">
      <c r="A168" s="35" t="s">
        <v>25</v>
      </c>
      <c r="C168" s="37">
        <v>6</v>
      </c>
      <c r="D168" s="32">
        <v>2.5</v>
      </c>
      <c r="E168" s="36">
        <v>0</v>
      </c>
      <c r="F168" s="36">
        <v>2000</v>
      </c>
      <c r="G168" s="35" t="s">
        <v>9</v>
      </c>
      <c r="H168" s="42">
        <v>0.2</v>
      </c>
      <c r="I168" s="42">
        <v>0</v>
      </c>
      <c r="K168" s="35" t="str">
        <f t="shared" si="4"/>
        <v>Permeable Pavement Facility62.502000Pre-developed Pasture Standard</v>
      </c>
    </row>
    <row r="169" spans="1:11" x14ac:dyDescent="0.25">
      <c r="A169" s="53" t="s">
        <v>25</v>
      </c>
      <c r="B169" s="53"/>
      <c r="C169" s="67">
        <v>6</v>
      </c>
      <c r="D169" s="51">
        <v>2.5</v>
      </c>
      <c r="E169" s="47">
        <v>2000</v>
      </c>
      <c r="F169" s="47">
        <v>10000</v>
      </c>
      <c r="G169" s="53" t="s">
        <v>9</v>
      </c>
      <c r="H169" s="49">
        <v>5.2999999999999999E-2</v>
      </c>
      <c r="I169" s="49">
        <v>110.7</v>
      </c>
      <c r="J169" s="53"/>
      <c r="K169" s="53" t="str">
        <f t="shared" si="4"/>
        <v>Permeable Pavement Facility62.5200010000Pre-developed Pasture Standard</v>
      </c>
    </row>
    <row r="170" spans="1:11" x14ac:dyDescent="0.25">
      <c r="A170" s="35" t="s">
        <v>25</v>
      </c>
      <c r="C170" s="37">
        <v>6</v>
      </c>
      <c r="D170" s="32">
        <v>0.15</v>
      </c>
      <c r="G170" s="35" t="s">
        <v>82</v>
      </c>
      <c r="H170" s="42">
        <v>2.5680000000000001</v>
      </c>
      <c r="I170" s="42">
        <v>0</v>
      </c>
      <c r="K170" s="35" t="str">
        <f t="shared" si="4"/>
        <v>Permeable Pavement Facility60.15Peak Control Standard</v>
      </c>
    </row>
    <row r="171" spans="1:11" x14ac:dyDescent="0.25">
      <c r="A171" s="35" t="s">
        <v>25</v>
      </c>
      <c r="C171" s="37">
        <v>6</v>
      </c>
      <c r="D171" s="32">
        <v>0.3</v>
      </c>
      <c r="G171" s="35" t="s">
        <v>82</v>
      </c>
      <c r="H171" s="42">
        <v>1.9019999999999999</v>
      </c>
      <c r="I171" s="42">
        <v>0</v>
      </c>
      <c r="K171" s="35" t="str">
        <f t="shared" si="4"/>
        <v>Permeable Pavement Facility60.3Peak Control Standard</v>
      </c>
    </row>
    <row r="172" spans="1:11" x14ac:dyDescent="0.25">
      <c r="A172" s="35" t="s">
        <v>25</v>
      </c>
      <c r="C172" s="37">
        <v>6</v>
      </c>
      <c r="D172" s="32">
        <v>0.6</v>
      </c>
      <c r="G172" s="35" t="s">
        <v>82</v>
      </c>
      <c r="H172" s="42">
        <v>0.56899999999999995</v>
      </c>
      <c r="I172" s="42">
        <v>0</v>
      </c>
      <c r="K172" s="35" t="str">
        <f t="shared" si="4"/>
        <v>Permeable Pavement Facility60.6Peak Control Standard</v>
      </c>
    </row>
    <row r="173" spans="1:11" x14ac:dyDescent="0.25">
      <c r="A173" s="35" t="s">
        <v>25</v>
      </c>
      <c r="C173" s="37">
        <v>6</v>
      </c>
      <c r="D173" s="32">
        <v>1</v>
      </c>
      <c r="G173" s="35" t="s">
        <v>82</v>
      </c>
      <c r="H173" s="42">
        <v>0.496</v>
      </c>
      <c r="I173" s="42">
        <v>0</v>
      </c>
      <c r="K173" s="35" t="str">
        <f t="shared" si="4"/>
        <v>Permeable Pavement Facility61Peak Control Standard</v>
      </c>
    </row>
    <row r="174" spans="1:11" x14ac:dyDescent="0.25">
      <c r="A174" s="53" t="s">
        <v>25</v>
      </c>
      <c r="B174" s="53"/>
      <c r="C174" s="67">
        <v>6</v>
      </c>
      <c r="D174" s="51">
        <v>2.5</v>
      </c>
      <c r="E174" s="47"/>
      <c r="F174" s="47"/>
      <c r="G174" s="53" t="s">
        <v>82</v>
      </c>
      <c r="H174" s="49">
        <v>0.224</v>
      </c>
      <c r="I174" s="49">
        <v>0</v>
      </c>
      <c r="J174" s="53"/>
      <c r="K174" s="53" t="str">
        <f t="shared" si="4"/>
        <v>Permeable Pavement Facility62.5Peak Control Standard</v>
      </c>
    </row>
    <row r="175" spans="1:11" x14ac:dyDescent="0.25">
      <c r="A175" s="35" t="s">
        <v>25</v>
      </c>
      <c r="C175" s="37">
        <v>6</v>
      </c>
      <c r="D175" s="32">
        <v>0.15</v>
      </c>
      <c r="G175" s="31" t="s">
        <v>83</v>
      </c>
      <c r="H175" s="42">
        <v>0.26900000000000002</v>
      </c>
      <c r="I175" s="42">
        <v>0</v>
      </c>
      <c r="K175" s="35" t="str">
        <f t="shared" si="4"/>
        <v>Permeable Pavement Facility60.15Water Quality Treatment</v>
      </c>
    </row>
    <row r="176" spans="1:11" x14ac:dyDescent="0.25">
      <c r="A176" s="35" t="s">
        <v>25</v>
      </c>
      <c r="C176" s="37">
        <v>6</v>
      </c>
      <c r="D176" s="32">
        <v>0.3</v>
      </c>
      <c r="G176" s="31" t="s">
        <v>83</v>
      </c>
      <c r="H176" s="42">
        <v>0.246</v>
      </c>
      <c r="I176" s="42">
        <v>0</v>
      </c>
      <c r="K176" s="35" t="str">
        <f t="shared" si="4"/>
        <v>Permeable Pavement Facility60.3Water Quality Treatment</v>
      </c>
    </row>
    <row r="177" spans="1:11" x14ac:dyDescent="0.25">
      <c r="A177" s="35" t="s">
        <v>25</v>
      </c>
      <c r="C177" s="37">
        <v>6</v>
      </c>
      <c r="D177" s="32">
        <v>0.6</v>
      </c>
      <c r="G177" s="31" t="s">
        <v>83</v>
      </c>
      <c r="H177" s="42">
        <v>0.2</v>
      </c>
      <c r="I177" s="42">
        <v>0</v>
      </c>
      <c r="J177" s="35" t="s">
        <v>101</v>
      </c>
      <c r="K177" s="35" t="str">
        <f t="shared" si="4"/>
        <v>Permeable Pavement Facility60.6Water Quality Treatment</v>
      </c>
    </row>
    <row r="178" spans="1:11" x14ac:dyDescent="0.25">
      <c r="A178" s="35" t="s">
        <v>25</v>
      </c>
      <c r="C178" s="37">
        <v>6</v>
      </c>
      <c r="D178" s="32">
        <v>1</v>
      </c>
      <c r="G178" s="31" t="s">
        <v>83</v>
      </c>
      <c r="H178" s="42">
        <v>0.2</v>
      </c>
      <c r="I178" s="42">
        <v>0</v>
      </c>
      <c r="J178" s="35" t="s">
        <v>101</v>
      </c>
      <c r="K178" s="35" t="str">
        <f t="shared" si="4"/>
        <v>Permeable Pavement Facility61Water Quality Treatment</v>
      </c>
    </row>
    <row r="179" spans="1:11" x14ac:dyDescent="0.25">
      <c r="A179" s="53" t="s">
        <v>25</v>
      </c>
      <c r="B179" s="53"/>
      <c r="C179" s="67">
        <v>6</v>
      </c>
      <c r="D179" s="51">
        <v>2.5</v>
      </c>
      <c r="E179" s="47"/>
      <c r="F179" s="47"/>
      <c r="G179" s="48" t="s">
        <v>83</v>
      </c>
      <c r="H179" s="49">
        <v>0.2</v>
      </c>
      <c r="I179" s="49">
        <v>0</v>
      </c>
      <c r="J179" s="53" t="s">
        <v>101</v>
      </c>
      <c r="K179" s="53" t="str">
        <f t="shared" si="4"/>
        <v>Permeable Pavement Facility62.5Water Quality Treatment</v>
      </c>
    </row>
    <row r="180" spans="1:11" x14ac:dyDescent="0.25">
      <c r="A180" s="35" t="s">
        <v>25</v>
      </c>
      <c r="C180" s="37">
        <v>12</v>
      </c>
      <c r="D180" s="32">
        <v>0.15</v>
      </c>
      <c r="E180" s="36">
        <v>0</v>
      </c>
      <c r="F180" s="36">
        <v>2000</v>
      </c>
      <c r="G180" s="35" t="s">
        <v>9</v>
      </c>
      <c r="H180" s="42">
        <v>0.71399999999999997</v>
      </c>
      <c r="I180" s="42">
        <v>0</v>
      </c>
      <c r="K180" s="35" t="str">
        <f t="shared" si="4"/>
        <v>Permeable Pavement Facility120.1502000Pre-developed Pasture Standard</v>
      </c>
    </row>
    <row r="181" spans="1:11" x14ac:dyDescent="0.25">
      <c r="A181" s="35" t="s">
        <v>25</v>
      </c>
      <c r="C181" s="37">
        <v>12</v>
      </c>
      <c r="D181" s="32">
        <v>0.15</v>
      </c>
      <c r="E181" s="36">
        <v>2000</v>
      </c>
      <c r="F181" s="36">
        <v>10000</v>
      </c>
      <c r="G181" s="35" t="s">
        <v>9</v>
      </c>
      <c r="H181" s="42">
        <v>0.3236</v>
      </c>
      <c r="I181" s="42">
        <v>785.9</v>
      </c>
      <c r="K181" s="35" t="str">
        <f t="shared" si="4"/>
        <v>Permeable Pavement Facility120.15200010000Pre-developed Pasture Standard</v>
      </c>
    </row>
    <row r="182" spans="1:11" x14ac:dyDescent="0.25">
      <c r="A182" s="35" t="s">
        <v>25</v>
      </c>
      <c r="C182" s="37">
        <v>12</v>
      </c>
      <c r="D182" s="32">
        <v>0.3</v>
      </c>
      <c r="E182" s="36">
        <v>0</v>
      </c>
      <c r="F182" s="36">
        <v>2000</v>
      </c>
      <c r="G182" s="35" t="s">
        <v>9</v>
      </c>
      <c r="H182" s="42">
        <v>0.55500000000000005</v>
      </c>
      <c r="I182" s="42">
        <v>0</v>
      </c>
      <c r="K182" s="35" t="str">
        <f t="shared" si="4"/>
        <v>Permeable Pavement Facility120.302000Pre-developed Pasture Standard</v>
      </c>
    </row>
    <row r="183" spans="1:11" x14ac:dyDescent="0.25">
      <c r="A183" s="35" t="s">
        <v>25</v>
      </c>
      <c r="C183" s="37">
        <v>12</v>
      </c>
      <c r="D183" s="32">
        <v>0.3</v>
      </c>
      <c r="E183" s="36">
        <v>2000</v>
      </c>
      <c r="F183" s="36">
        <v>10000</v>
      </c>
      <c r="G183" s="35" t="s">
        <v>9</v>
      </c>
      <c r="H183" s="42">
        <v>0.25729999999999997</v>
      </c>
      <c r="I183" s="42">
        <v>600.29999999999995</v>
      </c>
      <c r="K183" s="35" t="str">
        <f t="shared" si="4"/>
        <v>Permeable Pavement Facility120.3200010000Pre-developed Pasture Standard</v>
      </c>
    </row>
    <row r="184" spans="1:11" x14ac:dyDescent="0.25">
      <c r="A184" s="35" t="s">
        <v>25</v>
      </c>
      <c r="C184" s="37">
        <v>12</v>
      </c>
      <c r="D184" s="32">
        <v>0.6</v>
      </c>
      <c r="E184" s="36">
        <v>0</v>
      </c>
      <c r="F184" s="36">
        <v>2000</v>
      </c>
      <c r="G184" s="35" t="s">
        <v>9</v>
      </c>
      <c r="H184" s="42">
        <v>0.23799999999999999</v>
      </c>
      <c r="I184" s="42">
        <v>0</v>
      </c>
      <c r="K184" s="35" t="str">
        <f t="shared" si="4"/>
        <v>Permeable Pavement Facility120.602000Pre-developed Pasture Standard</v>
      </c>
    </row>
    <row r="185" spans="1:11" x14ac:dyDescent="0.25">
      <c r="A185" s="35" t="s">
        <v>25</v>
      </c>
      <c r="C185" s="37">
        <v>12</v>
      </c>
      <c r="D185" s="32">
        <v>0.6</v>
      </c>
      <c r="E185" s="36">
        <v>2000</v>
      </c>
      <c r="F185" s="36">
        <v>10000</v>
      </c>
      <c r="G185" s="35" t="s">
        <v>9</v>
      </c>
      <c r="H185" s="42">
        <v>0.12470000000000001</v>
      </c>
      <c r="I185" s="42">
        <v>229.2</v>
      </c>
      <c r="K185" s="35" t="str">
        <f t="shared" si="4"/>
        <v>Permeable Pavement Facility120.6200010000Pre-developed Pasture Standard</v>
      </c>
    </row>
    <row r="186" spans="1:11" x14ac:dyDescent="0.25">
      <c r="A186" s="35" t="s">
        <v>25</v>
      </c>
      <c r="C186" s="37">
        <v>12</v>
      </c>
      <c r="D186" s="32">
        <v>1</v>
      </c>
      <c r="E186" s="36">
        <v>0</v>
      </c>
      <c r="F186" s="36">
        <v>2000</v>
      </c>
      <c r="G186" s="35" t="s">
        <v>9</v>
      </c>
      <c r="H186" s="42">
        <v>0.20499999999999999</v>
      </c>
      <c r="I186" s="42">
        <v>0</v>
      </c>
      <c r="K186" s="35" t="str">
        <f t="shared" si="4"/>
        <v>Permeable Pavement Facility12102000Pre-developed Pasture Standard</v>
      </c>
    </row>
    <row r="187" spans="1:11" x14ac:dyDescent="0.25">
      <c r="A187" s="35" t="s">
        <v>25</v>
      </c>
      <c r="C187" s="37">
        <v>12</v>
      </c>
      <c r="D187" s="32">
        <v>1</v>
      </c>
      <c r="E187" s="36">
        <v>2000</v>
      </c>
      <c r="F187" s="36">
        <v>10000</v>
      </c>
      <c r="G187" s="35" t="s">
        <v>9</v>
      </c>
      <c r="H187" s="42">
        <v>0.1076</v>
      </c>
      <c r="I187" s="42">
        <v>198.2</v>
      </c>
      <c r="K187" s="35" t="str">
        <f t="shared" si="4"/>
        <v>Permeable Pavement Facility121200010000Pre-developed Pasture Standard</v>
      </c>
    </row>
    <row r="188" spans="1:11" x14ac:dyDescent="0.25">
      <c r="A188" s="35" t="s">
        <v>25</v>
      </c>
      <c r="C188" s="37">
        <v>12</v>
      </c>
      <c r="D188" s="32">
        <v>2.5</v>
      </c>
      <c r="E188" s="36">
        <v>0</v>
      </c>
      <c r="F188" s="36">
        <v>2000</v>
      </c>
      <c r="G188" s="35" t="s">
        <v>9</v>
      </c>
      <c r="H188" s="42">
        <v>0.2</v>
      </c>
      <c r="I188" s="42">
        <v>0</v>
      </c>
      <c r="J188" s="35" t="s">
        <v>101</v>
      </c>
      <c r="K188" s="35" t="str">
        <f t="shared" si="4"/>
        <v>Permeable Pavement Facility122.502000Pre-developed Pasture Standard</v>
      </c>
    </row>
    <row r="189" spans="1:11" x14ac:dyDescent="0.25">
      <c r="A189" s="53" t="s">
        <v>25</v>
      </c>
      <c r="B189" s="53"/>
      <c r="C189" s="67">
        <v>12</v>
      </c>
      <c r="D189" s="51">
        <v>2.5</v>
      </c>
      <c r="E189" s="47">
        <v>2000</v>
      </c>
      <c r="F189" s="47">
        <v>10000</v>
      </c>
      <c r="G189" s="53" t="s">
        <v>9</v>
      </c>
      <c r="H189" s="49">
        <v>4.3499999999999997E-2</v>
      </c>
      <c r="I189" s="49">
        <v>81.7</v>
      </c>
      <c r="J189" s="53"/>
      <c r="K189" s="53" t="str">
        <f t="shared" si="4"/>
        <v>Permeable Pavement Facility122.5200010000Pre-developed Pasture Standard</v>
      </c>
    </row>
    <row r="190" spans="1:11" x14ac:dyDescent="0.25">
      <c r="A190" s="35" t="s">
        <v>25</v>
      </c>
      <c r="C190" s="37">
        <v>12</v>
      </c>
      <c r="D190" s="32">
        <v>0.15</v>
      </c>
      <c r="G190" s="35" t="s">
        <v>82</v>
      </c>
      <c r="H190" s="42">
        <v>1.008</v>
      </c>
      <c r="I190" s="42">
        <v>0</v>
      </c>
      <c r="K190" s="35" t="str">
        <f t="shared" si="4"/>
        <v>Permeable Pavement Facility120.15Peak Control Standard</v>
      </c>
    </row>
    <row r="191" spans="1:11" x14ac:dyDescent="0.25">
      <c r="A191" s="35" t="s">
        <v>25</v>
      </c>
      <c r="C191" s="37">
        <v>12</v>
      </c>
      <c r="D191" s="32">
        <v>0.3</v>
      </c>
      <c r="G191" s="35" t="s">
        <v>82</v>
      </c>
      <c r="H191" s="42">
        <v>0.79300000000000004</v>
      </c>
      <c r="I191" s="42">
        <v>0</v>
      </c>
      <c r="K191" s="35" t="str">
        <f t="shared" si="4"/>
        <v>Permeable Pavement Facility120.3Peak Control Standard</v>
      </c>
    </row>
    <row r="192" spans="1:11" x14ac:dyDescent="0.25">
      <c r="A192" s="35" t="s">
        <v>25</v>
      </c>
      <c r="C192" s="37">
        <v>12</v>
      </c>
      <c r="D192" s="32">
        <v>0.6</v>
      </c>
      <c r="G192" s="35" t="s">
        <v>82</v>
      </c>
      <c r="H192" s="42">
        <v>0.36099999999999999</v>
      </c>
      <c r="I192" s="42">
        <v>0</v>
      </c>
      <c r="K192" s="35" t="str">
        <f t="shared" si="4"/>
        <v>Permeable Pavement Facility120.6Peak Control Standard</v>
      </c>
    </row>
    <row r="193" spans="1:11" x14ac:dyDescent="0.25">
      <c r="A193" s="35" t="s">
        <v>25</v>
      </c>
      <c r="C193" s="37">
        <v>12</v>
      </c>
      <c r="D193" s="32">
        <v>1</v>
      </c>
      <c r="G193" s="35" t="s">
        <v>82</v>
      </c>
      <c r="H193" s="42">
        <v>0.32700000000000001</v>
      </c>
      <c r="I193" s="42">
        <v>0</v>
      </c>
      <c r="K193" s="35" t="str">
        <f t="shared" si="4"/>
        <v>Permeable Pavement Facility121Peak Control Standard</v>
      </c>
    </row>
    <row r="194" spans="1:11" x14ac:dyDescent="0.25">
      <c r="A194" s="53" t="s">
        <v>25</v>
      </c>
      <c r="B194" s="53"/>
      <c r="C194" s="67">
        <v>12</v>
      </c>
      <c r="D194" s="51">
        <v>2.5</v>
      </c>
      <c r="E194" s="47"/>
      <c r="F194" s="47"/>
      <c r="G194" s="53" t="s">
        <v>82</v>
      </c>
      <c r="H194" s="49">
        <v>0.2</v>
      </c>
      <c r="I194" s="49">
        <v>0</v>
      </c>
      <c r="J194" s="53" t="s">
        <v>101</v>
      </c>
      <c r="K194" s="53" t="str">
        <f t="shared" si="4"/>
        <v>Permeable Pavement Facility122.5Peak Control Standard</v>
      </c>
    </row>
    <row r="195" spans="1:11" x14ac:dyDescent="0.25">
      <c r="A195" s="35" t="s">
        <v>25</v>
      </c>
      <c r="C195" s="37">
        <v>12</v>
      </c>
      <c r="D195" s="32">
        <v>0.15</v>
      </c>
      <c r="G195" s="31" t="s">
        <v>83</v>
      </c>
      <c r="H195" s="42">
        <v>0.2</v>
      </c>
      <c r="I195" s="42">
        <v>0</v>
      </c>
      <c r="J195" s="35" t="s">
        <v>101</v>
      </c>
      <c r="K195" s="35" t="str">
        <f t="shared" si="4"/>
        <v>Permeable Pavement Facility120.15Water Quality Treatment</v>
      </c>
    </row>
    <row r="196" spans="1:11" x14ac:dyDescent="0.25">
      <c r="A196" s="35" t="s">
        <v>25</v>
      </c>
      <c r="C196" s="37">
        <v>12</v>
      </c>
      <c r="D196" s="32">
        <v>0.3</v>
      </c>
      <c r="G196" s="31" t="s">
        <v>83</v>
      </c>
      <c r="H196" s="42">
        <v>0.2</v>
      </c>
      <c r="I196" s="42">
        <v>0</v>
      </c>
      <c r="J196" s="35" t="s">
        <v>101</v>
      </c>
      <c r="K196" s="35" t="str">
        <f t="shared" si="4"/>
        <v>Permeable Pavement Facility120.3Water Quality Treatment</v>
      </c>
    </row>
    <row r="197" spans="1:11" x14ac:dyDescent="0.25">
      <c r="A197" s="35" t="s">
        <v>25</v>
      </c>
      <c r="C197" s="37">
        <v>12</v>
      </c>
      <c r="D197" s="32">
        <v>0.6</v>
      </c>
      <c r="G197" s="31" t="s">
        <v>83</v>
      </c>
      <c r="H197" s="42">
        <v>0.2</v>
      </c>
      <c r="I197" s="42">
        <v>0</v>
      </c>
      <c r="J197" s="35" t="s">
        <v>101</v>
      </c>
      <c r="K197" s="35" t="str">
        <f t="shared" si="4"/>
        <v>Permeable Pavement Facility120.6Water Quality Treatment</v>
      </c>
    </row>
    <row r="198" spans="1:11" x14ac:dyDescent="0.25">
      <c r="A198" s="35" t="s">
        <v>25</v>
      </c>
      <c r="C198" s="37">
        <v>12</v>
      </c>
      <c r="D198" s="32">
        <v>1</v>
      </c>
      <c r="G198" s="31" t="s">
        <v>83</v>
      </c>
      <c r="H198" s="42">
        <v>0.2</v>
      </c>
      <c r="I198" s="42">
        <v>0</v>
      </c>
      <c r="J198" s="35" t="s">
        <v>101</v>
      </c>
      <c r="K198" s="35" t="str">
        <f t="shared" si="4"/>
        <v>Permeable Pavement Facility121Water Quality Treatment</v>
      </c>
    </row>
    <row r="199" spans="1:11" x14ac:dyDescent="0.25">
      <c r="A199" s="53" t="s">
        <v>25</v>
      </c>
      <c r="B199" s="53"/>
      <c r="C199" s="67">
        <v>12</v>
      </c>
      <c r="D199" s="51">
        <v>2.5</v>
      </c>
      <c r="E199" s="47"/>
      <c r="F199" s="47"/>
      <c r="G199" s="48" t="s">
        <v>83</v>
      </c>
      <c r="H199" s="49">
        <v>0.2</v>
      </c>
      <c r="I199" s="49">
        <v>0</v>
      </c>
      <c r="J199" s="53" t="s">
        <v>101</v>
      </c>
      <c r="K199" s="53" t="str">
        <f t="shared" si="4"/>
        <v>Permeable Pavement Facility122.5Water Quality Treatment</v>
      </c>
    </row>
    <row r="200" spans="1:11" s="62" customFormat="1" x14ac:dyDescent="0.25">
      <c r="A200" s="61"/>
      <c r="B200" s="61"/>
      <c r="C200" s="61"/>
      <c r="D200" s="63"/>
      <c r="E200" s="64"/>
      <c r="F200" s="64"/>
      <c r="G200" s="65"/>
      <c r="H200" s="66"/>
      <c r="I200" s="66"/>
      <c r="J200" s="61"/>
      <c r="K200" s="61"/>
    </row>
    <row r="201" spans="1:11" x14ac:dyDescent="0.25">
      <c r="A201" s="73" t="s">
        <v>125</v>
      </c>
      <c r="B201" s="53"/>
      <c r="C201" s="53"/>
      <c r="D201" s="51"/>
      <c r="E201" s="47"/>
      <c r="F201" s="47"/>
      <c r="G201" s="48"/>
      <c r="H201" s="49"/>
      <c r="I201" s="49"/>
      <c r="J201" s="53"/>
      <c r="K201" s="53"/>
    </row>
    <row r="202" spans="1:11" x14ac:dyDescent="0.25">
      <c r="A202" s="56" t="s">
        <v>79</v>
      </c>
      <c r="B202" s="56"/>
      <c r="C202" s="56"/>
      <c r="D202" s="56"/>
      <c r="E202" s="56" t="s">
        <v>105</v>
      </c>
      <c r="F202" s="56"/>
      <c r="G202" s="56" t="s">
        <v>90</v>
      </c>
      <c r="H202" s="56" t="s">
        <v>84</v>
      </c>
      <c r="I202" s="56" t="s">
        <v>85</v>
      </c>
      <c r="J202" s="56" t="s">
        <v>44</v>
      </c>
      <c r="K202" s="56" t="s">
        <v>91</v>
      </c>
    </row>
    <row r="203" spans="1:11" x14ac:dyDescent="0.25">
      <c r="A203" s="35" t="s">
        <v>74</v>
      </c>
      <c r="E203" s="36" t="s">
        <v>104</v>
      </c>
      <c r="G203" s="35" t="s">
        <v>9</v>
      </c>
      <c r="H203" s="42">
        <v>1</v>
      </c>
      <c r="I203" s="42">
        <v>0</v>
      </c>
      <c r="K203" s="35" t="str">
        <f t="shared" si="4"/>
        <v>Permeable Pavement Surface&lt;2Pre-developed Pasture Standard</v>
      </c>
    </row>
    <row r="204" spans="1:11" x14ac:dyDescent="0.25">
      <c r="A204" s="53" t="s">
        <v>74</v>
      </c>
      <c r="B204" s="53"/>
      <c r="C204" s="53"/>
      <c r="D204" s="53"/>
      <c r="E204" s="47" t="s">
        <v>102</v>
      </c>
      <c r="F204" s="47"/>
      <c r="G204" s="53" t="s">
        <v>9</v>
      </c>
      <c r="H204" s="49">
        <v>0.99</v>
      </c>
      <c r="I204" s="49">
        <v>0</v>
      </c>
      <c r="J204" s="53"/>
      <c r="K204" s="53" t="str">
        <f t="shared" si="4"/>
        <v>Permeable Pavement Surface&gt;2Pre-developed Pasture Standard</v>
      </c>
    </row>
    <row r="205" spans="1:11" x14ac:dyDescent="0.25">
      <c r="A205" s="35" t="s">
        <v>74</v>
      </c>
      <c r="E205" s="36" t="s">
        <v>104</v>
      </c>
      <c r="G205" s="35" t="s">
        <v>82</v>
      </c>
      <c r="H205" s="42">
        <v>0.96</v>
      </c>
      <c r="I205" s="42">
        <v>0</v>
      </c>
      <c r="J205" s="35" t="s">
        <v>103</v>
      </c>
      <c r="K205" s="35" t="str">
        <f t="shared" si="4"/>
        <v>Permeable Pavement Surface&lt;2Peak Control Standard</v>
      </c>
    </row>
    <row r="206" spans="1:11" x14ac:dyDescent="0.25">
      <c r="A206" s="53" t="s">
        <v>74</v>
      </c>
      <c r="B206" s="53"/>
      <c r="C206" s="53"/>
      <c r="D206" s="53"/>
      <c r="E206" s="47" t="s">
        <v>102</v>
      </c>
      <c r="F206" s="47"/>
      <c r="G206" s="53" t="s">
        <v>82</v>
      </c>
      <c r="H206" s="49">
        <v>0.71</v>
      </c>
      <c r="I206" s="49">
        <v>0</v>
      </c>
      <c r="J206" s="53"/>
      <c r="K206" s="53" t="str">
        <f t="shared" si="4"/>
        <v>Permeable Pavement Surface&gt;2Peak Control Standard</v>
      </c>
    </row>
    <row r="207" spans="1:11" x14ac:dyDescent="0.25">
      <c r="A207" s="35" t="s">
        <v>74</v>
      </c>
      <c r="E207" s="36" t="s">
        <v>104</v>
      </c>
      <c r="G207" s="31" t="s">
        <v>83</v>
      </c>
      <c r="H207" s="42">
        <v>1</v>
      </c>
      <c r="I207" s="42">
        <v>0</v>
      </c>
      <c r="K207" s="35" t="str">
        <f t="shared" si="4"/>
        <v>Permeable Pavement Surface&lt;2Water Quality Treatment</v>
      </c>
    </row>
    <row r="208" spans="1:11" x14ac:dyDescent="0.25">
      <c r="A208" s="53" t="s">
        <v>74</v>
      </c>
      <c r="B208" s="53"/>
      <c r="C208" s="53"/>
      <c r="D208" s="53"/>
      <c r="E208" s="47" t="s">
        <v>102</v>
      </c>
      <c r="F208" s="47"/>
      <c r="G208" s="48" t="s">
        <v>83</v>
      </c>
      <c r="H208" s="49">
        <v>1</v>
      </c>
      <c r="I208" s="49">
        <v>0</v>
      </c>
      <c r="J208" s="53"/>
      <c r="K208" s="53" t="str">
        <f t="shared" si="4"/>
        <v>Permeable Pavement Surface&gt;2Water Quality Treatment</v>
      </c>
    </row>
    <row r="209" spans="1:11" s="62" customFormat="1" x14ac:dyDescent="0.25">
      <c r="A209" s="61"/>
      <c r="B209" s="61"/>
      <c r="C209" s="61"/>
      <c r="D209" s="63"/>
      <c r="E209" s="64"/>
      <c r="F209" s="64"/>
      <c r="G209" s="65"/>
      <c r="H209" s="66"/>
      <c r="I209" s="66"/>
      <c r="J209" s="61"/>
      <c r="K209" s="61"/>
    </row>
    <row r="210" spans="1:11" x14ac:dyDescent="0.25">
      <c r="A210" s="73" t="s">
        <v>126</v>
      </c>
      <c r="B210" s="53"/>
      <c r="C210" s="53"/>
      <c r="D210" s="51"/>
      <c r="E210" s="47"/>
      <c r="F210" s="47"/>
      <c r="G210" s="48"/>
      <c r="H210" s="49"/>
      <c r="I210" s="49"/>
      <c r="J210" s="53"/>
      <c r="K210" s="53"/>
    </row>
    <row r="211" spans="1:11" x14ac:dyDescent="0.25">
      <c r="A211" s="56" t="s">
        <v>79</v>
      </c>
      <c r="B211" s="56"/>
      <c r="C211" s="56"/>
      <c r="D211" s="56"/>
      <c r="E211" s="56"/>
      <c r="F211" s="56"/>
      <c r="G211" s="56" t="s">
        <v>90</v>
      </c>
      <c r="H211" s="56" t="s">
        <v>84</v>
      </c>
      <c r="I211" s="56" t="s">
        <v>85</v>
      </c>
      <c r="J211" s="56" t="s">
        <v>44</v>
      </c>
      <c r="K211" s="56" t="s">
        <v>91</v>
      </c>
    </row>
    <row r="212" spans="1:11" x14ac:dyDescent="0.25">
      <c r="A212" s="35" t="s">
        <v>62</v>
      </c>
      <c r="G212" s="36" t="s">
        <v>9</v>
      </c>
      <c r="H212" s="42">
        <v>0.21</v>
      </c>
      <c r="I212" s="42">
        <v>0</v>
      </c>
      <c r="K212" s="35" t="str">
        <f t="shared" si="4"/>
        <v>Vegetated Roof SystemPre-developed Pasture Standard</v>
      </c>
    </row>
    <row r="213" spans="1:11" x14ac:dyDescent="0.25">
      <c r="A213" s="53" t="s">
        <v>62</v>
      </c>
      <c r="B213" s="53"/>
      <c r="C213" s="53"/>
      <c r="D213" s="53"/>
      <c r="E213" s="47"/>
      <c r="F213" s="47"/>
      <c r="G213" s="47" t="s">
        <v>82</v>
      </c>
      <c r="H213" s="49">
        <v>0.86</v>
      </c>
      <c r="I213" s="49">
        <v>0</v>
      </c>
      <c r="J213" s="53"/>
      <c r="K213" s="53" t="str">
        <f t="shared" si="4"/>
        <v>Vegetated Roof SystemPeak Control Standard</v>
      </c>
    </row>
    <row r="214" spans="1:11" x14ac:dyDescent="0.25">
      <c r="G214" s="36"/>
    </row>
    <row r="215" spans="1:11" x14ac:dyDescent="0.25">
      <c r="A215" s="73" t="s">
        <v>127</v>
      </c>
      <c r="B215" s="53"/>
      <c r="C215" s="53"/>
      <c r="D215" s="51"/>
      <c r="E215" s="47"/>
      <c r="F215" s="47"/>
      <c r="G215" s="48"/>
      <c r="H215" s="49"/>
      <c r="I215" s="49"/>
      <c r="J215" s="53"/>
      <c r="K215" s="53"/>
    </row>
    <row r="216" spans="1:11" ht="45" x14ac:dyDescent="0.25">
      <c r="A216" s="56" t="s">
        <v>79</v>
      </c>
      <c r="B216" s="56" t="s">
        <v>64</v>
      </c>
      <c r="C216" s="56" t="s">
        <v>96</v>
      </c>
      <c r="D216" s="56"/>
      <c r="E216" s="71" t="s">
        <v>134</v>
      </c>
      <c r="F216" s="71" t="s">
        <v>135</v>
      </c>
      <c r="G216" s="56" t="s">
        <v>90</v>
      </c>
      <c r="H216" s="56" t="s">
        <v>84</v>
      </c>
      <c r="I216" s="56" t="s">
        <v>85</v>
      </c>
      <c r="J216" s="56" t="s">
        <v>87</v>
      </c>
      <c r="K216" s="56" t="s">
        <v>91</v>
      </c>
    </row>
    <row r="217" spans="1:11" x14ac:dyDescent="0.25">
      <c r="A217" s="61" t="s">
        <v>145</v>
      </c>
      <c r="B217" s="69" t="s">
        <v>66</v>
      </c>
      <c r="C217" s="61">
        <v>2</v>
      </c>
      <c r="D217" s="61"/>
      <c r="E217" s="64">
        <v>0</v>
      </c>
      <c r="F217" s="64">
        <v>2000</v>
      </c>
      <c r="G217" s="61" t="s">
        <v>9</v>
      </c>
      <c r="H217" s="66" t="s">
        <v>81</v>
      </c>
      <c r="I217" s="66"/>
      <c r="J217" s="61" t="s">
        <v>120</v>
      </c>
      <c r="K217" s="61" t="str">
        <f t="shared" si="4"/>
        <v>Bioretention with Underdrain2.5H:1V202000Pre-developed Pasture Standard</v>
      </c>
    </row>
    <row r="218" spans="1:11" x14ac:dyDescent="0.25">
      <c r="A218" s="35" t="s">
        <v>145</v>
      </c>
      <c r="B218" s="34" t="s">
        <v>66</v>
      </c>
      <c r="C218" s="35">
        <v>2</v>
      </c>
      <c r="E218" s="36">
        <v>2000</v>
      </c>
      <c r="F218" s="36">
        <v>10000</v>
      </c>
      <c r="G218" s="35" t="s">
        <v>9</v>
      </c>
      <c r="H218" s="42" t="s">
        <v>81</v>
      </c>
      <c r="J218" s="35" t="s">
        <v>120</v>
      </c>
      <c r="K218" s="35" t="str">
        <f t="shared" ref="K218:K263" si="5">A218&amp;B218&amp;C218&amp;D218&amp;E218&amp;F218&amp;G218</f>
        <v>Bioretention with Underdrain2.5H:1V2200010000Pre-developed Pasture Standard</v>
      </c>
    </row>
    <row r="219" spans="1:11" x14ac:dyDescent="0.25">
      <c r="A219" s="35" t="s">
        <v>145</v>
      </c>
      <c r="B219" s="34" t="s">
        <v>66</v>
      </c>
      <c r="C219" s="35">
        <v>6</v>
      </c>
      <c r="E219" s="36">
        <v>0</v>
      </c>
      <c r="F219" s="36">
        <v>2000</v>
      </c>
      <c r="G219" s="35" t="s">
        <v>9</v>
      </c>
      <c r="H219" s="42" t="s">
        <v>81</v>
      </c>
      <c r="J219" s="35" t="s">
        <v>120</v>
      </c>
      <c r="K219" s="35" t="str">
        <f t="shared" si="5"/>
        <v>Bioretention with Underdrain2.5H:1V602000Pre-developed Pasture Standard</v>
      </c>
    </row>
    <row r="220" spans="1:11" x14ac:dyDescent="0.25">
      <c r="A220" s="35" t="s">
        <v>145</v>
      </c>
      <c r="B220" s="34" t="s">
        <v>66</v>
      </c>
      <c r="C220" s="35">
        <v>6</v>
      </c>
      <c r="E220" s="36">
        <v>2000</v>
      </c>
      <c r="F220" s="36">
        <v>10000</v>
      </c>
      <c r="G220" s="35" t="s">
        <v>9</v>
      </c>
      <c r="H220" s="42" t="s">
        <v>81</v>
      </c>
      <c r="J220" s="35" t="s">
        <v>120</v>
      </c>
      <c r="K220" s="35" t="str">
        <f t="shared" si="5"/>
        <v>Bioretention with Underdrain2.5H:1V6200010000Pre-developed Pasture Standard</v>
      </c>
    </row>
    <row r="221" spans="1:11" x14ac:dyDescent="0.25">
      <c r="A221" s="35" t="s">
        <v>145</v>
      </c>
      <c r="B221" s="34" t="s">
        <v>66</v>
      </c>
      <c r="C221" s="37">
        <v>12</v>
      </c>
      <c r="E221" s="36">
        <v>0</v>
      </c>
      <c r="F221" s="36">
        <v>2000</v>
      </c>
      <c r="G221" s="35" t="s">
        <v>9</v>
      </c>
      <c r="H221" s="42" t="s">
        <v>81</v>
      </c>
      <c r="J221" s="35" t="s">
        <v>120</v>
      </c>
      <c r="K221" s="35" t="str">
        <f t="shared" si="5"/>
        <v>Bioretention with Underdrain2.5H:1V1202000Pre-developed Pasture Standard</v>
      </c>
    </row>
    <row r="222" spans="1:11" x14ac:dyDescent="0.25">
      <c r="A222" s="53" t="s">
        <v>145</v>
      </c>
      <c r="B222" s="45" t="s">
        <v>66</v>
      </c>
      <c r="C222" s="67">
        <v>12</v>
      </c>
      <c r="D222" s="53"/>
      <c r="E222" s="47">
        <v>2000</v>
      </c>
      <c r="F222" s="47">
        <v>10000</v>
      </c>
      <c r="G222" s="53" t="s">
        <v>9</v>
      </c>
      <c r="H222" s="49" t="s">
        <v>81</v>
      </c>
      <c r="I222" s="49"/>
      <c r="J222" s="53" t="s">
        <v>120</v>
      </c>
      <c r="K222" s="53" t="str">
        <f t="shared" si="5"/>
        <v>Bioretention with Underdrain2.5H:1V12200010000Pre-developed Pasture Standard</v>
      </c>
    </row>
    <row r="223" spans="1:11" x14ac:dyDescent="0.25">
      <c r="A223" s="35" t="s">
        <v>145</v>
      </c>
      <c r="B223" s="34" t="s">
        <v>66</v>
      </c>
      <c r="C223" s="37">
        <v>2</v>
      </c>
      <c r="E223" s="36">
        <v>0</v>
      </c>
      <c r="F223" s="36">
        <v>2000</v>
      </c>
      <c r="G223" s="35" t="s">
        <v>82</v>
      </c>
      <c r="H223" s="42" t="s">
        <v>81</v>
      </c>
      <c r="J223" s="37" t="s">
        <v>136</v>
      </c>
      <c r="K223" s="35" t="str">
        <f t="shared" si="5"/>
        <v>Bioretention with Underdrain2.5H:1V202000Peak Control Standard</v>
      </c>
    </row>
    <row r="224" spans="1:11" x14ac:dyDescent="0.25">
      <c r="A224" s="35" t="s">
        <v>145</v>
      </c>
      <c r="B224" s="34" t="s">
        <v>66</v>
      </c>
      <c r="C224" s="37">
        <v>2</v>
      </c>
      <c r="E224" s="36">
        <v>2000</v>
      </c>
      <c r="F224" s="36">
        <v>10000</v>
      </c>
      <c r="G224" s="35" t="s">
        <v>82</v>
      </c>
      <c r="H224" s="42" t="s">
        <v>81</v>
      </c>
      <c r="J224" s="35" t="s">
        <v>136</v>
      </c>
      <c r="K224" s="35" t="str">
        <f t="shared" si="5"/>
        <v>Bioretention with Underdrain2.5H:1V2200010000Peak Control Standard</v>
      </c>
    </row>
    <row r="225" spans="1:11" x14ac:dyDescent="0.25">
      <c r="A225" s="37" t="s">
        <v>145</v>
      </c>
      <c r="B225" s="34" t="s">
        <v>66</v>
      </c>
      <c r="C225" s="37">
        <v>6</v>
      </c>
      <c r="D225" s="37"/>
      <c r="E225" s="84">
        <v>0</v>
      </c>
      <c r="F225" s="84">
        <v>2000</v>
      </c>
      <c r="G225" s="37" t="s">
        <v>82</v>
      </c>
      <c r="H225" s="44" t="s">
        <v>81</v>
      </c>
      <c r="I225" s="44"/>
      <c r="J225" s="37" t="s">
        <v>136</v>
      </c>
      <c r="K225" s="37" t="str">
        <f t="shared" si="5"/>
        <v>Bioretention with Underdrain2.5H:1V602000Peak Control Standard</v>
      </c>
    </row>
    <row r="226" spans="1:11" x14ac:dyDescent="0.25">
      <c r="A226" s="37" t="s">
        <v>145</v>
      </c>
      <c r="B226" s="34" t="s">
        <v>66</v>
      </c>
      <c r="C226" s="37">
        <v>6</v>
      </c>
      <c r="D226" s="37"/>
      <c r="E226" s="84">
        <v>2000</v>
      </c>
      <c r="F226" s="84">
        <v>10000</v>
      </c>
      <c r="G226" s="37" t="s">
        <v>82</v>
      </c>
      <c r="H226" s="44" t="s">
        <v>81</v>
      </c>
      <c r="I226" s="44"/>
      <c r="J226" s="37" t="s">
        <v>136</v>
      </c>
      <c r="K226" s="37" t="str">
        <f t="shared" si="5"/>
        <v>Bioretention with Underdrain2.5H:1V6200010000Peak Control Standard</v>
      </c>
    </row>
    <row r="227" spans="1:11" x14ac:dyDescent="0.25">
      <c r="A227" s="37" t="s">
        <v>145</v>
      </c>
      <c r="B227" s="34" t="s">
        <v>66</v>
      </c>
      <c r="C227" s="37">
        <v>12</v>
      </c>
      <c r="D227" s="37"/>
      <c r="E227" s="84">
        <v>0</v>
      </c>
      <c r="F227" s="84">
        <v>2000</v>
      </c>
      <c r="G227" s="37" t="s">
        <v>82</v>
      </c>
      <c r="H227" s="44">
        <v>0.03</v>
      </c>
      <c r="I227" s="44">
        <v>0</v>
      </c>
      <c r="J227" s="37" t="s">
        <v>153</v>
      </c>
      <c r="K227" s="37" t="str">
        <f t="shared" si="5"/>
        <v>Bioretention with Underdrain2.5H:1V1202000Peak Control Standard</v>
      </c>
    </row>
    <row r="228" spans="1:11" x14ac:dyDescent="0.25">
      <c r="A228" s="67" t="s">
        <v>145</v>
      </c>
      <c r="B228" s="67" t="s">
        <v>66</v>
      </c>
      <c r="C228" s="67">
        <v>12</v>
      </c>
      <c r="D228" s="67"/>
      <c r="E228" s="85">
        <v>2000</v>
      </c>
      <c r="F228" s="85">
        <v>10000</v>
      </c>
      <c r="G228" s="67" t="s">
        <v>82</v>
      </c>
      <c r="H228" s="50">
        <v>0.03</v>
      </c>
      <c r="I228" s="50">
        <v>0</v>
      </c>
      <c r="J228" s="67" t="s">
        <v>153</v>
      </c>
      <c r="K228" s="67" t="str">
        <f t="shared" si="5"/>
        <v>Bioretention with Underdrain2.5H:1V12200010000Peak Control Standard</v>
      </c>
    </row>
    <row r="229" spans="1:11" x14ac:dyDescent="0.25">
      <c r="A229" s="62" t="s">
        <v>145</v>
      </c>
      <c r="B229" s="69" t="s">
        <v>65</v>
      </c>
      <c r="C229" s="62">
        <v>2</v>
      </c>
      <c r="D229" s="62"/>
      <c r="E229" s="86">
        <v>0</v>
      </c>
      <c r="F229" s="86">
        <v>2000</v>
      </c>
      <c r="G229" s="62" t="s">
        <v>9</v>
      </c>
      <c r="H229" s="83" t="s">
        <v>81</v>
      </c>
      <c r="I229" s="83"/>
      <c r="J229" s="62" t="s">
        <v>119</v>
      </c>
      <c r="K229" s="62" t="str">
        <f>A229&amp;B229&amp;C229&amp;D229&amp;E229&amp;F229&amp;G229</f>
        <v>Bioretention with UnderdrainVertical202000Pre-developed Pasture Standard</v>
      </c>
    </row>
    <row r="230" spans="1:11" x14ac:dyDescent="0.25">
      <c r="A230" s="37" t="s">
        <v>145</v>
      </c>
      <c r="B230" s="34" t="s">
        <v>65</v>
      </c>
      <c r="C230" s="37">
        <v>2</v>
      </c>
      <c r="D230" s="37"/>
      <c r="E230" s="84">
        <v>2000</v>
      </c>
      <c r="F230" s="84">
        <v>10000</v>
      </c>
      <c r="G230" s="37" t="s">
        <v>9</v>
      </c>
      <c r="H230" s="44" t="s">
        <v>81</v>
      </c>
      <c r="I230" s="44"/>
      <c r="J230" s="37" t="s">
        <v>119</v>
      </c>
      <c r="K230" s="37" t="str">
        <f>A230&amp;B230&amp;C230&amp;D230&amp;E230&amp;F230&amp;G230</f>
        <v>Bioretention with UnderdrainVertical2200010000Pre-developed Pasture Standard</v>
      </c>
    </row>
    <row r="231" spans="1:11" x14ac:dyDescent="0.25">
      <c r="A231" s="37" t="s">
        <v>145</v>
      </c>
      <c r="B231" s="34" t="s">
        <v>65</v>
      </c>
      <c r="C231" s="37">
        <v>6</v>
      </c>
      <c r="D231" s="37"/>
      <c r="E231" s="84">
        <v>0</v>
      </c>
      <c r="F231" s="84">
        <v>2000</v>
      </c>
      <c r="G231" s="37" t="s">
        <v>9</v>
      </c>
      <c r="H231" s="44" t="s">
        <v>81</v>
      </c>
      <c r="I231" s="44"/>
      <c r="J231" s="37" t="s">
        <v>120</v>
      </c>
      <c r="K231" s="37" t="str">
        <f t="shared" si="5"/>
        <v>Bioretention with UnderdrainVertical602000Pre-developed Pasture Standard</v>
      </c>
    </row>
    <row r="232" spans="1:11" x14ac:dyDescent="0.25">
      <c r="A232" s="37" t="s">
        <v>145</v>
      </c>
      <c r="B232" s="34" t="s">
        <v>65</v>
      </c>
      <c r="C232" s="37">
        <v>6</v>
      </c>
      <c r="D232" s="37"/>
      <c r="E232" s="84">
        <v>2000</v>
      </c>
      <c r="F232" s="84">
        <v>10000</v>
      </c>
      <c r="G232" s="37" t="s">
        <v>9</v>
      </c>
      <c r="H232" s="44" t="s">
        <v>81</v>
      </c>
      <c r="I232" s="44"/>
      <c r="J232" s="37" t="s">
        <v>120</v>
      </c>
      <c r="K232" s="37" t="str">
        <f t="shared" si="5"/>
        <v>Bioretention with UnderdrainVertical6200010000Pre-developed Pasture Standard</v>
      </c>
    </row>
    <row r="233" spans="1:11" x14ac:dyDescent="0.25">
      <c r="A233" s="37" t="s">
        <v>145</v>
      </c>
      <c r="B233" s="34" t="s">
        <v>65</v>
      </c>
      <c r="C233" s="37">
        <v>12</v>
      </c>
      <c r="D233" s="37"/>
      <c r="E233" s="84">
        <v>0</v>
      </c>
      <c r="F233" s="84">
        <v>2000</v>
      </c>
      <c r="G233" s="37" t="s">
        <v>9</v>
      </c>
      <c r="H233" s="44" t="s">
        <v>81</v>
      </c>
      <c r="I233" s="44"/>
      <c r="J233" s="37" t="s">
        <v>120</v>
      </c>
      <c r="K233" s="37" t="str">
        <f t="shared" si="5"/>
        <v>Bioretention with UnderdrainVertical1202000Pre-developed Pasture Standard</v>
      </c>
    </row>
    <row r="234" spans="1:11" x14ac:dyDescent="0.25">
      <c r="A234" s="53" t="s">
        <v>145</v>
      </c>
      <c r="B234" s="45" t="s">
        <v>65</v>
      </c>
      <c r="C234" s="67">
        <v>12</v>
      </c>
      <c r="D234" s="53"/>
      <c r="E234" s="47">
        <v>2000</v>
      </c>
      <c r="F234" s="47">
        <v>10000</v>
      </c>
      <c r="G234" s="53" t="s">
        <v>9</v>
      </c>
      <c r="H234" s="49" t="s">
        <v>81</v>
      </c>
      <c r="I234" s="50"/>
      <c r="J234" s="67" t="s">
        <v>120</v>
      </c>
      <c r="K234" s="67" t="str">
        <f t="shared" si="5"/>
        <v>Bioretention with UnderdrainVertical12200010000Pre-developed Pasture Standard</v>
      </c>
    </row>
    <row r="235" spans="1:11" x14ac:dyDescent="0.25">
      <c r="A235" s="61" t="s">
        <v>145</v>
      </c>
      <c r="B235" s="69" t="s">
        <v>65</v>
      </c>
      <c r="C235" s="62">
        <v>2</v>
      </c>
      <c r="D235" s="61"/>
      <c r="E235" s="64">
        <v>0</v>
      </c>
      <c r="F235" s="64">
        <v>2000</v>
      </c>
      <c r="G235" s="61" t="s">
        <v>82</v>
      </c>
      <c r="H235" s="66" t="s">
        <v>81</v>
      </c>
      <c r="I235" s="83"/>
      <c r="J235" s="62" t="s">
        <v>136</v>
      </c>
      <c r="K235" s="62" t="str">
        <f>A235&amp;B235&amp;C235&amp;D235&amp;E235&amp;F235&amp;G235</f>
        <v>Bioretention with UnderdrainVertical202000Peak Control Standard</v>
      </c>
    </row>
    <row r="236" spans="1:11" x14ac:dyDescent="0.25">
      <c r="A236" s="35" t="s">
        <v>145</v>
      </c>
      <c r="B236" s="34" t="s">
        <v>65</v>
      </c>
      <c r="C236" s="35">
        <v>2</v>
      </c>
      <c r="E236" s="36">
        <v>2000</v>
      </c>
      <c r="F236" s="36">
        <v>10000</v>
      </c>
      <c r="G236" s="35" t="s">
        <v>82</v>
      </c>
      <c r="H236" s="42" t="s">
        <v>81</v>
      </c>
      <c r="I236" s="44"/>
      <c r="J236" s="37" t="s">
        <v>136</v>
      </c>
      <c r="K236" s="37" t="str">
        <f>A236&amp;B236&amp;C236&amp;D236&amp;E236&amp;F236&amp;G236</f>
        <v>Bioretention with UnderdrainVertical2200010000Peak Control Standard</v>
      </c>
    </row>
    <row r="237" spans="1:11" x14ac:dyDescent="0.25">
      <c r="A237" s="35" t="s">
        <v>145</v>
      </c>
      <c r="B237" s="34" t="s">
        <v>65</v>
      </c>
      <c r="C237" s="35">
        <v>6</v>
      </c>
      <c r="E237" s="36">
        <v>0</v>
      </c>
      <c r="F237" s="36">
        <v>2000</v>
      </c>
      <c r="G237" s="35" t="s">
        <v>82</v>
      </c>
      <c r="H237" s="42" t="s">
        <v>81</v>
      </c>
      <c r="I237" s="44"/>
      <c r="J237" s="37" t="s">
        <v>136</v>
      </c>
      <c r="K237" s="37" t="str">
        <f t="shared" si="5"/>
        <v>Bioretention with UnderdrainVertical602000Peak Control Standard</v>
      </c>
    </row>
    <row r="238" spans="1:11" x14ac:dyDescent="0.25">
      <c r="A238" s="35" t="s">
        <v>145</v>
      </c>
      <c r="B238" s="34" t="s">
        <v>65</v>
      </c>
      <c r="C238" s="37">
        <v>6</v>
      </c>
      <c r="E238" s="36">
        <v>2000</v>
      </c>
      <c r="F238" s="36">
        <v>10000</v>
      </c>
      <c r="G238" s="35" t="s">
        <v>82</v>
      </c>
      <c r="H238" s="42" t="s">
        <v>81</v>
      </c>
      <c r="J238" s="35" t="s">
        <v>136</v>
      </c>
      <c r="K238" s="35" t="str">
        <f t="shared" si="5"/>
        <v>Bioretention with UnderdrainVertical6200010000Peak Control Standard</v>
      </c>
    </row>
    <row r="239" spans="1:11" x14ac:dyDescent="0.25">
      <c r="A239" s="35" t="s">
        <v>145</v>
      </c>
      <c r="B239" s="34" t="s">
        <v>65</v>
      </c>
      <c r="C239" s="37">
        <v>12</v>
      </c>
      <c r="E239" s="36">
        <v>0</v>
      </c>
      <c r="F239" s="36">
        <v>2000</v>
      </c>
      <c r="G239" s="35" t="s">
        <v>82</v>
      </c>
      <c r="H239" s="42">
        <v>4.4999999999999998E-2</v>
      </c>
      <c r="I239" s="42">
        <v>0</v>
      </c>
      <c r="J239" s="35" t="s">
        <v>153</v>
      </c>
      <c r="K239" s="35" t="str">
        <f t="shared" si="5"/>
        <v>Bioretention with UnderdrainVertical1202000Peak Control Standard</v>
      </c>
    </row>
    <row r="240" spans="1:11" x14ac:dyDescent="0.25">
      <c r="A240" s="53" t="s">
        <v>145</v>
      </c>
      <c r="B240" s="45" t="s">
        <v>65</v>
      </c>
      <c r="C240" s="67">
        <v>12</v>
      </c>
      <c r="D240" s="53"/>
      <c r="E240" s="47">
        <v>2000</v>
      </c>
      <c r="F240" s="47">
        <v>10000</v>
      </c>
      <c r="G240" s="53" t="s">
        <v>82</v>
      </c>
      <c r="H240" s="49">
        <v>4.4999999999999998E-2</v>
      </c>
      <c r="I240" s="49">
        <v>0</v>
      </c>
      <c r="J240" s="53" t="s">
        <v>153</v>
      </c>
      <c r="K240" s="53" t="str">
        <f t="shared" si="5"/>
        <v>Bioretention with UnderdrainVertical12200010000Peak Control Standard</v>
      </c>
    </row>
    <row r="241" spans="1:11" x14ac:dyDescent="0.25">
      <c r="B241" s="34"/>
      <c r="C241" s="37"/>
    </row>
    <row r="242" spans="1:11" x14ac:dyDescent="0.25">
      <c r="A242" s="73" t="s">
        <v>106</v>
      </c>
      <c r="B242" s="45"/>
      <c r="C242" s="67"/>
      <c r="D242" s="53"/>
      <c r="E242" s="47"/>
      <c r="F242" s="47"/>
      <c r="G242" s="53"/>
      <c r="H242" s="49"/>
      <c r="I242" s="49"/>
      <c r="J242" s="53"/>
      <c r="K242" s="53"/>
    </row>
    <row r="243" spans="1:11" ht="60" x14ac:dyDescent="0.25">
      <c r="A243" s="56" t="s">
        <v>79</v>
      </c>
      <c r="B243" s="53"/>
      <c r="C243" s="53"/>
      <c r="D243" s="56" t="s">
        <v>97</v>
      </c>
      <c r="E243" s="71" t="s">
        <v>134</v>
      </c>
      <c r="F243" s="71" t="s">
        <v>135</v>
      </c>
      <c r="G243" s="56" t="s">
        <v>90</v>
      </c>
      <c r="H243" s="56" t="s">
        <v>84</v>
      </c>
      <c r="I243" s="56" t="s">
        <v>85</v>
      </c>
      <c r="J243" s="56" t="s">
        <v>87</v>
      </c>
      <c r="K243" s="56" t="s">
        <v>91</v>
      </c>
    </row>
    <row r="244" spans="1:11" x14ac:dyDescent="0.25">
      <c r="A244" s="35" t="s">
        <v>35</v>
      </c>
      <c r="D244" s="35">
        <v>0.15</v>
      </c>
      <c r="E244" s="36">
        <v>0</v>
      </c>
      <c r="F244" s="36">
        <v>2000</v>
      </c>
      <c r="G244" s="35" t="s">
        <v>9</v>
      </c>
      <c r="H244" s="42">
        <v>0.13100000000000001</v>
      </c>
      <c r="I244" s="42">
        <v>0</v>
      </c>
      <c r="K244" s="35" t="str">
        <f t="shared" si="5"/>
        <v>Infiltration Chamber0.1502000Pre-developed Pasture Standard</v>
      </c>
    </row>
    <row r="245" spans="1:11" x14ac:dyDescent="0.25">
      <c r="A245" s="35" t="s">
        <v>35</v>
      </c>
      <c r="D245" s="35">
        <v>0.15</v>
      </c>
      <c r="E245" s="36">
        <v>2000</v>
      </c>
      <c r="F245" s="36">
        <v>10000</v>
      </c>
      <c r="G245" s="35" t="s">
        <v>9</v>
      </c>
      <c r="H245" s="42">
        <v>8.7900000000000006E-2</v>
      </c>
      <c r="I245" s="42">
        <v>91.4</v>
      </c>
      <c r="K245" s="35" t="str">
        <f t="shared" si="5"/>
        <v>Infiltration Chamber0.15200010000Pre-developed Pasture Standard</v>
      </c>
    </row>
    <row r="246" spans="1:11" x14ac:dyDescent="0.25">
      <c r="A246" s="35" t="s">
        <v>35</v>
      </c>
      <c r="D246" s="35">
        <v>0.3</v>
      </c>
      <c r="E246" s="36">
        <v>0</v>
      </c>
      <c r="F246" s="36">
        <v>2000</v>
      </c>
      <c r="G246" s="35" t="s">
        <v>9</v>
      </c>
      <c r="H246" s="42">
        <v>0.111</v>
      </c>
      <c r="I246" s="42">
        <v>0</v>
      </c>
      <c r="K246" s="35" t="str">
        <f t="shared" si="5"/>
        <v>Infiltration Chamber0.302000Pre-developed Pasture Standard</v>
      </c>
    </row>
    <row r="247" spans="1:11" x14ac:dyDescent="0.25">
      <c r="A247" s="35" t="s">
        <v>35</v>
      </c>
      <c r="D247" s="37">
        <v>0.3</v>
      </c>
      <c r="E247" s="36">
        <v>2000</v>
      </c>
      <c r="F247" s="36">
        <v>10000</v>
      </c>
      <c r="G247" s="35" t="s">
        <v>9</v>
      </c>
      <c r="H247" s="42">
        <v>7.3300000000000004E-2</v>
      </c>
      <c r="I247" s="42">
        <v>79.900000000000006</v>
      </c>
      <c r="K247" s="35" t="str">
        <f t="shared" si="5"/>
        <v>Infiltration Chamber0.3200010000Pre-developed Pasture Standard</v>
      </c>
    </row>
    <row r="248" spans="1:11" x14ac:dyDescent="0.25">
      <c r="A248" s="35" t="s">
        <v>35</v>
      </c>
      <c r="D248" s="37">
        <v>0.6</v>
      </c>
      <c r="E248" s="36">
        <v>0</v>
      </c>
      <c r="F248" s="36">
        <v>2000</v>
      </c>
      <c r="G248" s="35" t="s">
        <v>9</v>
      </c>
      <c r="H248" s="42">
        <v>7.1999999999999995E-2</v>
      </c>
      <c r="I248" s="42">
        <v>0</v>
      </c>
      <c r="K248" s="35" t="str">
        <f t="shared" si="5"/>
        <v>Infiltration Chamber0.602000Pre-developed Pasture Standard</v>
      </c>
    </row>
    <row r="249" spans="1:11" x14ac:dyDescent="0.25">
      <c r="A249" s="35" t="s">
        <v>35</v>
      </c>
      <c r="D249" s="37">
        <v>0.6</v>
      </c>
      <c r="E249" s="36">
        <v>2000</v>
      </c>
      <c r="F249" s="36">
        <v>10000</v>
      </c>
      <c r="G249" s="35" t="s">
        <v>9</v>
      </c>
      <c r="H249" s="42">
        <v>4.41E-2</v>
      </c>
      <c r="I249" s="42">
        <v>56.8</v>
      </c>
      <c r="K249" s="35" t="str">
        <f t="shared" si="5"/>
        <v>Infiltration Chamber0.6200010000Pre-developed Pasture Standard</v>
      </c>
    </row>
    <row r="250" spans="1:11" x14ac:dyDescent="0.25">
      <c r="A250" s="35" t="s">
        <v>35</v>
      </c>
      <c r="D250" s="37">
        <v>1</v>
      </c>
      <c r="E250" s="36">
        <v>0</v>
      </c>
      <c r="F250" s="36">
        <v>2000</v>
      </c>
      <c r="G250" s="35" t="s">
        <v>9</v>
      </c>
      <c r="H250" s="42">
        <v>6.4000000000000001E-2</v>
      </c>
      <c r="I250" s="42">
        <v>0</v>
      </c>
      <c r="K250" s="35" t="str">
        <f t="shared" si="5"/>
        <v>Infiltration Chamber102000Pre-developed Pasture Standard</v>
      </c>
    </row>
    <row r="251" spans="1:11" x14ac:dyDescent="0.25">
      <c r="A251" s="35" t="s">
        <v>35</v>
      </c>
      <c r="D251" s="37">
        <v>1</v>
      </c>
      <c r="E251" s="36">
        <v>2000</v>
      </c>
      <c r="F251" s="36">
        <v>10000</v>
      </c>
      <c r="G251" s="35" t="s">
        <v>9</v>
      </c>
      <c r="H251" s="42">
        <v>3.9199999999999999E-2</v>
      </c>
      <c r="I251" s="42">
        <v>50.7</v>
      </c>
      <c r="K251" s="35" t="str">
        <f t="shared" si="5"/>
        <v>Infiltration Chamber1200010000Pre-developed Pasture Standard</v>
      </c>
    </row>
    <row r="252" spans="1:11" x14ac:dyDescent="0.25">
      <c r="A252" s="35" t="s">
        <v>35</v>
      </c>
      <c r="D252" s="37">
        <v>2.5</v>
      </c>
      <c r="E252" s="36">
        <v>0</v>
      </c>
      <c r="F252" s="36">
        <v>2000</v>
      </c>
      <c r="G252" s="35" t="s">
        <v>9</v>
      </c>
      <c r="H252" s="42">
        <v>3.4000000000000002E-2</v>
      </c>
      <c r="I252" s="42">
        <v>0</v>
      </c>
      <c r="K252" s="35" t="str">
        <f t="shared" si="5"/>
        <v>Infiltration Chamber2.502000Pre-developed Pasture Standard</v>
      </c>
    </row>
    <row r="253" spans="1:11" x14ac:dyDescent="0.25">
      <c r="A253" s="53" t="s">
        <v>35</v>
      </c>
      <c r="B253" s="53"/>
      <c r="C253" s="53"/>
      <c r="D253" s="67">
        <v>2.5</v>
      </c>
      <c r="E253" s="47">
        <v>2000</v>
      </c>
      <c r="F253" s="47">
        <v>10000</v>
      </c>
      <c r="G253" s="53" t="s">
        <v>9</v>
      </c>
      <c r="H253" s="49">
        <v>2.1000000000000001E-2</v>
      </c>
      <c r="I253" s="49">
        <v>28</v>
      </c>
      <c r="J253" s="53"/>
      <c r="K253" s="53" t="str">
        <f t="shared" si="5"/>
        <v>Infiltration Chamber2.5200010000Pre-developed Pasture Standard</v>
      </c>
    </row>
    <row r="254" spans="1:11" x14ac:dyDescent="0.25">
      <c r="A254" s="35" t="s">
        <v>35</v>
      </c>
      <c r="D254" s="37">
        <v>0.15</v>
      </c>
      <c r="G254" s="35" t="s">
        <v>82</v>
      </c>
      <c r="H254" s="42">
        <v>0.126</v>
      </c>
      <c r="I254" s="42">
        <v>0</v>
      </c>
      <c r="K254" s="35" t="str">
        <f t="shared" si="5"/>
        <v>Infiltration Chamber0.15Peak Control Standard</v>
      </c>
    </row>
    <row r="255" spans="1:11" x14ac:dyDescent="0.25">
      <c r="A255" s="35" t="s">
        <v>35</v>
      </c>
      <c r="D255" s="37">
        <v>0.3</v>
      </c>
      <c r="G255" s="35" t="s">
        <v>82</v>
      </c>
      <c r="H255" s="42">
        <v>0.111</v>
      </c>
      <c r="I255" s="42">
        <v>0</v>
      </c>
      <c r="K255" s="35" t="str">
        <f t="shared" si="5"/>
        <v>Infiltration Chamber0.3Peak Control Standard</v>
      </c>
    </row>
    <row r="256" spans="1:11" x14ac:dyDescent="0.25">
      <c r="A256" s="35" t="s">
        <v>35</v>
      </c>
      <c r="D256" s="37">
        <v>0.6</v>
      </c>
      <c r="G256" s="35" t="s">
        <v>82</v>
      </c>
      <c r="H256" s="42">
        <v>0.08</v>
      </c>
      <c r="I256" s="42">
        <v>0</v>
      </c>
      <c r="K256" s="35" t="str">
        <f t="shared" si="5"/>
        <v>Infiltration Chamber0.6Peak Control Standard</v>
      </c>
    </row>
    <row r="257" spans="1:11" x14ac:dyDescent="0.25">
      <c r="A257" s="35" t="s">
        <v>35</v>
      </c>
      <c r="D257" s="37">
        <v>1</v>
      </c>
      <c r="G257" s="35" t="s">
        <v>82</v>
      </c>
      <c r="H257" s="42">
        <v>7.1999999999999995E-2</v>
      </c>
      <c r="I257" s="42">
        <v>0</v>
      </c>
      <c r="K257" s="35" t="str">
        <f t="shared" si="5"/>
        <v>Infiltration Chamber1Peak Control Standard</v>
      </c>
    </row>
    <row r="258" spans="1:11" x14ac:dyDescent="0.25">
      <c r="A258" s="53" t="s">
        <v>35</v>
      </c>
      <c r="B258" s="53"/>
      <c r="C258" s="53"/>
      <c r="D258" s="67">
        <v>2.5</v>
      </c>
      <c r="E258" s="47"/>
      <c r="F258" s="47"/>
      <c r="G258" s="53" t="s">
        <v>82</v>
      </c>
      <c r="H258" s="49">
        <v>4.2999999999999997E-2</v>
      </c>
      <c r="I258" s="49">
        <v>0</v>
      </c>
      <c r="J258" s="53"/>
      <c r="K258" s="53" t="str">
        <f t="shared" si="5"/>
        <v>Infiltration Chamber2.5Peak Control Standard</v>
      </c>
    </row>
    <row r="259" spans="1:11" x14ac:dyDescent="0.25">
      <c r="A259" s="35" t="s">
        <v>35</v>
      </c>
      <c r="D259" s="37">
        <v>0.15</v>
      </c>
      <c r="G259" s="35" t="s">
        <v>83</v>
      </c>
      <c r="H259" s="42">
        <v>6.2E-2</v>
      </c>
      <c r="I259" s="42">
        <v>0</v>
      </c>
      <c r="K259" s="35" t="str">
        <f t="shared" si="5"/>
        <v>Infiltration Chamber0.15Water Quality Treatment</v>
      </c>
    </row>
    <row r="260" spans="1:11" x14ac:dyDescent="0.25">
      <c r="A260" s="35" t="s">
        <v>35</v>
      </c>
      <c r="D260" s="37">
        <v>0.3</v>
      </c>
      <c r="G260" s="35" t="s">
        <v>83</v>
      </c>
      <c r="H260" s="42">
        <v>5.0999999999999997E-2</v>
      </c>
      <c r="I260" s="42">
        <v>0</v>
      </c>
      <c r="K260" s="35" t="str">
        <f t="shared" si="5"/>
        <v>Infiltration Chamber0.3Water Quality Treatment</v>
      </c>
    </row>
    <row r="261" spans="1:11" x14ac:dyDescent="0.25">
      <c r="A261" s="35" t="s">
        <v>35</v>
      </c>
      <c r="D261" s="37">
        <v>0.6</v>
      </c>
      <c r="G261" s="35" t="s">
        <v>83</v>
      </c>
      <c r="H261" s="42">
        <v>0.03</v>
      </c>
      <c r="I261" s="42">
        <v>0</v>
      </c>
      <c r="K261" s="35" t="str">
        <f t="shared" si="5"/>
        <v>Infiltration Chamber0.6Water Quality Treatment</v>
      </c>
    </row>
    <row r="262" spans="1:11" x14ac:dyDescent="0.25">
      <c r="A262" s="35" t="s">
        <v>35</v>
      </c>
      <c r="D262" s="37">
        <v>1</v>
      </c>
      <c r="G262" s="35" t="s">
        <v>83</v>
      </c>
      <c r="H262" s="42">
        <v>2.5999999999999999E-2</v>
      </c>
      <c r="I262" s="42">
        <v>0</v>
      </c>
      <c r="K262" s="35" t="str">
        <f t="shared" si="5"/>
        <v>Infiltration Chamber1Water Quality Treatment</v>
      </c>
    </row>
    <row r="263" spans="1:11" x14ac:dyDescent="0.25">
      <c r="A263" s="53" t="s">
        <v>35</v>
      </c>
      <c r="B263" s="53"/>
      <c r="C263" s="53"/>
      <c r="D263" s="67">
        <v>2.5</v>
      </c>
      <c r="E263" s="47"/>
      <c r="F263" s="47"/>
      <c r="G263" s="53" t="s">
        <v>83</v>
      </c>
      <c r="H263" s="49">
        <v>1.4E-2</v>
      </c>
      <c r="I263" s="49">
        <v>0</v>
      </c>
      <c r="J263" s="53"/>
      <c r="K263" s="53" t="str">
        <f t="shared" si="5"/>
        <v>Infiltration Chamber2.5Water Quality Treatment</v>
      </c>
    </row>
    <row r="265" spans="1:11" x14ac:dyDescent="0.25">
      <c r="A265" s="73" t="s">
        <v>108</v>
      </c>
      <c r="B265" s="53"/>
      <c r="C265" s="53"/>
      <c r="D265" s="53"/>
      <c r="E265" s="47"/>
      <c r="F265" s="47"/>
      <c r="G265" s="53"/>
      <c r="H265" s="49"/>
      <c r="I265" s="49"/>
      <c r="J265" s="53"/>
      <c r="K265" s="53"/>
    </row>
    <row r="266" spans="1:11" ht="45" x14ac:dyDescent="0.25">
      <c r="A266" s="71" t="s">
        <v>79</v>
      </c>
      <c r="B266" s="72"/>
      <c r="C266" s="71" t="s">
        <v>109</v>
      </c>
      <c r="D266" s="72"/>
      <c r="E266" s="71" t="s">
        <v>134</v>
      </c>
      <c r="F266" s="71" t="s">
        <v>135</v>
      </c>
      <c r="G266" s="71" t="s">
        <v>90</v>
      </c>
      <c r="H266" s="71" t="s">
        <v>84</v>
      </c>
      <c r="I266" s="71" t="s">
        <v>110</v>
      </c>
      <c r="J266" s="71" t="s">
        <v>130</v>
      </c>
      <c r="K266" s="71" t="s">
        <v>91</v>
      </c>
    </row>
    <row r="267" spans="1:11" x14ac:dyDescent="0.25">
      <c r="A267" s="61" t="s">
        <v>40</v>
      </c>
      <c r="B267" s="61"/>
      <c r="C267" s="61">
        <v>24</v>
      </c>
      <c r="D267" s="61"/>
      <c r="E267" s="64">
        <v>2000</v>
      </c>
      <c r="F267" s="64">
        <v>10000</v>
      </c>
      <c r="G267" s="61" t="s">
        <v>9</v>
      </c>
      <c r="H267" s="66">
        <v>5.7099999999999998E-2</v>
      </c>
      <c r="I267" s="66">
        <v>49.5</v>
      </c>
      <c r="J267" s="61" t="s">
        <v>129</v>
      </c>
      <c r="K267" s="61" t="str">
        <f>A267&amp;B267&amp;C267&amp;D267&amp;E267&amp;F267&amp;G267</f>
        <v>Detention Pipe24200010000Pre-developed Pasture Standard</v>
      </c>
    </row>
    <row r="268" spans="1:11" x14ac:dyDescent="0.25">
      <c r="A268" s="53" t="s">
        <v>40</v>
      </c>
      <c r="B268" s="53"/>
      <c r="C268" s="53">
        <v>24</v>
      </c>
      <c r="D268" s="53"/>
      <c r="E268" s="47">
        <v>2000</v>
      </c>
      <c r="F268" s="47">
        <v>10000</v>
      </c>
      <c r="G268" s="53" t="s">
        <v>82</v>
      </c>
      <c r="H268" s="49">
        <v>1.3999999999999999E-4</v>
      </c>
      <c r="I268" s="49">
        <v>1.69</v>
      </c>
      <c r="J268" s="53" t="s">
        <v>128</v>
      </c>
      <c r="K268" s="53" t="str">
        <f>A268&amp;B268&amp;C268&amp;D268&amp;E268&amp;F268&amp;G268</f>
        <v>Detention Pipe24200010000Peak Control Standard</v>
      </c>
    </row>
    <row r="269" spans="1:11" x14ac:dyDescent="0.25">
      <c r="A269" s="35" t="s">
        <v>40</v>
      </c>
      <c r="C269" s="35">
        <v>36</v>
      </c>
      <c r="E269" s="36">
        <v>2000</v>
      </c>
      <c r="F269" s="36">
        <v>10000</v>
      </c>
      <c r="G269" s="35" t="s">
        <v>9</v>
      </c>
      <c r="H269" s="42">
        <v>2.5700000000000001E-2</v>
      </c>
      <c r="I269" s="42">
        <v>21.8</v>
      </c>
      <c r="J269" s="37" t="s">
        <v>129</v>
      </c>
      <c r="K269" s="35" t="str">
        <f>A269&amp;B269&amp;C269&amp;D269&amp;E269&amp;F269&amp;G269</f>
        <v>Detention Pipe36200010000Pre-developed Pasture Standard</v>
      </c>
    </row>
    <row r="270" spans="1:11" x14ac:dyDescent="0.25">
      <c r="A270" s="53" t="s">
        <v>40</v>
      </c>
      <c r="B270" s="53"/>
      <c r="C270" s="67">
        <v>36</v>
      </c>
      <c r="D270" s="53"/>
      <c r="E270" s="47">
        <v>2000</v>
      </c>
      <c r="F270" s="47">
        <v>10000</v>
      </c>
      <c r="G270" s="53" t="s">
        <v>82</v>
      </c>
      <c r="H270" s="49">
        <v>1.9599999999999999E-4</v>
      </c>
      <c r="I270" s="49">
        <v>1.55</v>
      </c>
      <c r="J270" s="53" t="s">
        <v>128</v>
      </c>
      <c r="K270" s="53" t="str">
        <f>A270&amp;B270&amp;C270&amp;D270&amp;E270&amp;F270&amp;G270</f>
        <v>Detention Pipe36200010000Peak Control Standard</v>
      </c>
    </row>
    <row r="272" spans="1:11" x14ac:dyDescent="0.25">
      <c r="A272" s="74" t="s">
        <v>107</v>
      </c>
    </row>
    <row r="273" spans="1:11" ht="45" x14ac:dyDescent="0.25">
      <c r="A273" s="71" t="s">
        <v>79</v>
      </c>
      <c r="B273" s="72"/>
      <c r="C273" s="71" t="s">
        <v>112</v>
      </c>
      <c r="D273" s="72"/>
      <c r="E273" s="71" t="s">
        <v>134</v>
      </c>
      <c r="F273" s="71" t="s">
        <v>135</v>
      </c>
      <c r="G273" s="71" t="s">
        <v>90</v>
      </c>
      <c r="H273" s="71" t="s">
        <v>84</v>
      </c>
      <c r="I273" s="71" t="s">
        <v>110</v>
      </c>
      <c r="J273" s="71" t="s">
        <v>87</v>
      </c>
      <c r="K273" s="71" t="s">
        <v>91</v>
      </c>
    </row>
    <row r="274" spans="1:11" x14ac:dyDescent="0.25">
      <c r="A274" s="61" t="s">
        <v>41</v>
      </c>
      <c r="B274" s="61"/>
      <c r="C274" s="61">
        <v>3</v>
      </c>
      <c r="D274" s="61"/>
      <c r="E274" s="64">
        <v>2000</v>
      </c>
      <c r="F274" s="64">
        <v>10000</v>
      </c>
      <c r="G274" s="61" t="s">
        <v>9</v>
      </c>
      <c r="H274" s="66">
        <v>6.6199999999999995E-2</v>
      </c>
      <c r="I274" s="66">
        <v>38.9</v>
      </c>
      <c r="J274" s="61" t="s">
        <v>129</v>
      </c>
      <c r="K274" s="61" t="str">
        <f t="shared" ref="K274:K279" si="6">A274&amp;B274&amp;C274&amp;D274&amp;E274&amp;F274&amp;G274</f>
        <v>Detention Vault3200010000Pre-developed Pasture Standard</v>
      </c>
    </row>
    <row r="275" spans="1:11" x14ac:dyDescent="0.25">
      <c r="A275" s="35" t="s">
        <v>41</v>
      </c>
      <c r="C275" s="35">
        <v>3</v>
      </c>
      <c r="E275" s="36">
        <v>2000</v>
      </c>
      <c r="F275" s="36">
        <v>3000</v>
      </c>
      <c r="G275" s="35" t="s">
        <v>82</v>
      </c>
      <c r="H275" s="42">
        <v>0</v>
      </c>
      <c r="I275" s="42">
        <v>64</v>
      </c>
      <c r="J275" s="37" t="s">
        <v>129</v>
      </c>
      <c r="K275" s="35" t="str">
        <f t="shared" si="6"/>
        <v>Detention Vault320003000Peak Control Standard</v>
      </c>
    </row>
    <row r="276" spans="1:11" x14ac:dyDescent="0.25">
      <c r="A276" s="53" t="s">
        <v>41</v>
      </c>
      <c r="B276" s="53"/>
      <c r="C276" s="53">
        <v>3</v>
      </c>
      <c r="D276" s="53"/>
      <c r="E276" s="47">
        <v>3000</v>
      </c>
      <c r="F276" s="47">
        <v>10000</v>
      </c>
      <c r="G276" s="53" t="s">
        <v>82</v>
      </c>
      <c r="H276" s="49">
        <v>2.5000000000000001E-4</v>
      </c>
      <c r="I276" s="49">
        <v>1.62</v>
      </c>
      <c r="J276" s="53" t="s">
        <v>128</v>
      </c>
      <c r="K276" s="53" t="str">
        <f t="shared" si="6"/>
        <v>Detention Vault3300010000Peak Control Standard</v>
      </c>
    </row>
    <row r="277" spans="1:11" x14ac:dyDescent="0.25">
      <c r="A277" s="35" t="s">
        <v>41</v>
      </c>
      <c r="C277" s="37">
        <v>4</v>
      </c>
      <c r="E277" s="36">
        <v>2000</v>
      </c>
      <c r="F277" s="36">
        <v>10000</v>
      </c>
      <c r="G277" s="35" t="s">
        <v>9</v>
      </c>
      <c r="H277" s="42" t="s">
        <v>81</v>
      </c>
      <c r="J277" s="35" t="s">
        <v>150</v>
      </c>
      <c r="K277" s="35" t="str">
        <f t="shared" si="6"/>
        <v>Detention Vault4200010000Pre-developed Pasture Standard</v>
      </c>
    </row>
    <row r="278" spans="1:11" x14ac:dyDescent="0.25">
      <c r="A278" s="35" t="s">
        <v>41</v>
      </c>
      <c r="C278" s="37">
        <v>4</v>
      </c>
      <c r="E278" s="36">
        <v>2000</v>
      </c>
      <c r="F278" s="36">
        <v>3000</v>
      </c>
      <c r="G278" s="35" t="s">
        <v>82</v>
      </c>
      <c r="H278" s="42">
        <v>0</v>
      </c>
      <c r="I278" s="42">
        <v>62</v>
      </c>
      <c r="J278" s="37" t="s">
        <v>129</v>
      </c>
      <c r="K278" s="35" t="str">
        <f t="shared" si="6"/>
        <v>Detention Vault420003000Peak Control Standard</v>
      </c>
    </row>
    <row r="279" spans="1:11" x14ac:dyDescent="0.25">
      <c r="A279" s="53" t="s">
        <v>41</v>
      </c>
      <c r="B279" s="53"/>
      <c r="C279" s="67">
        <v>4</v>
      </c>
      <c r="D279" s="53"/>
      <c r="E279" s="47">
        <v>3000</v>
      </c>
      <c r="F279" s="47">
        <v>10000</v>
      </c>
      <c r="G279" s="53" t="s">
        <v>82</v>
      </c>
      <c r="H279" s="49">
        <v>1.1000000000000001E-3</v>
      </c>
      <c r="I279" s="49">
        <v>1.41</v>
      </c>
      <c r="J279" s="53" t="s">
        <v>128</v>
      </c>
      <c r="K279" s="53" t="str">
        <f t="shared" si="6"/>
        <v>Detention Vault4300010000Peak Control Standard</v>
      </c>
    </row>
    <row r="281" spans="1:11" x14ac:dyDescent="0.25">
      <c r="A281" s="75" t="s">
        <v>114</v>
      </c>
    </row>
    <row r="282" spans="1:11" ht="45" x14ac:dyDescent="0.25">
      <c r="A282" s="71" t="s">
        <v>79</v>
      </c>
      <c r="B282" s="72"/>
      <c r="C282" s="71" t="s">
        <v>112</v>
      </c>
      <c r="D282" s="72"/>
      <c r="E282" s="71" t="s">
        <v>134</v>
      </c>
      <c r="F282" s="71" t="s">
        <v>135</v>
      </c>
      <c r="G282" s="71" t="s">
        <v>90</v>
      </c>
      <c r="H282" s="71" t="s">
        <v>84</v>
      </c>
      <c r="I282" s="71" t="s">
        <v>110</v>
      </c>
      <c r="J282" s="71" t="s">
        <v>87</v>
      </c>
      <c r="K282" s="71" t="s">
        <v>91</v>
      </c>
    </row>
    <row r="283" spans="1:11" x14ac:dyDescent="0.25">
      <c r="A283" s="35" t="s">
        <v>42</v>
      </c>
      <c r="C283" s="35">
        <v>3</v>
      </c>
      <c r="E283" s="36">
        <v>0</v>
      </c>
      <c r="F283" s="36">
        <v>2000</v>
      </c>
      <c r="G283" s="37" t="s">
        <v>9</v>
      </c>
      <c r="H283" s="42">
        <v>0.106</v>
      </c>
      <c r="I283" s="42">
        <v>0</v>
      </c>
      <c r="J283" s="37" t="s">
        <v>129</v>
      </c>
      <c r="K283" s="35" t="str">
        <f t="shared" ref="K283:K298" si="7">A283&amp;B283&amp;C283&amp;D283&amp;E283&amp;F283&amp;G283</f>
        <v>Detention Cistern302000Pre-developed Pasture Standard</v>
      </c>
    </row>
    <row r="284" spans="1:11" x14ac:dyDescent="0.25">
      <c r="A284" s="35" t="s">
        <v>42</v>
      </c>
      <c r="C284" s="35">
        <v>3</v>
      </c>
      <c r="E284" s="36">
        <v>2000</v>
      </c>
      <c r="F284" s="36">
        <v>3500</v>
      </c>
      <c r="G284" s="37" t="s">
        <v>9</v>
      </c>
      <c r="H284" s="42">
        <v>0.106</v>
      </c>
      <c r="I284" s="42">
        <v>0</v>
      </c>
      <c r="J284" s="37" t="s">
        <v>129</v>
      </c>
      <c r="K284" s="35" t="str">
        <f t="shared" si="7"/>
        <v>Detention Cistern320003500Pre-developed Pasture Standard</v>
      </c>
    </row>
    <row r="285" spans="1:11" x14ac:dyDescent="0.25">
      <c r="A285" s="35" t="s">
        <v>42</v>
      </c>
      <c r="C285" s="35">
        <v>3</v>
      </c>
      <c r="E285" s="36">
        <v>3500</v>
      </c>
      <c r="F285" s="36">
        <v>5000</v>
      </c>
      <c r="G285" s="37" t="s">
        <v>9</v>
      </c>
      <c r="H285" s="42">
        <v>0</v>
      </c>
      <c r="I285" s="42">
        <v>408</v>
      </c>
      <c r="J285" s="37" t="s">
        <v>129</v>
      </c>
      <c r="K285" s="35" t="str">
        <f t="shared" si="7"/>
        <v>Detention Cistern335005000Pre-developed Pasture Standard</v>
      </c>
    </row>
    <row r="286" spans="1:11" x14ac:dyDescent="0.25">
      <c r="A286" s="35" t="s">
        <v>42</v>
      </c>
      <c r="C286" s="35">
        <v>3</v>
      </c>
      <c r="E286" s="36">
        <v>5000</v>
      </c>
      <c r="F286" s="36">
        <v>10000</v>
      </c>
      <c r="G286" s="37" t="s">
        <v>9</v>
      </c>
      <c r="H286" s="42">
        <v>1.4999999999999999E-4</v>
      </c>
      <c r="I286" s="42">
        <v>1.74</v>
      </c>
      <c r="J286" s="37" t="s">
        <v>128</v>
      </c>
      <c r="K286" s="35" t="str">
        <f t="shared" si="7"/>
        <v>Detention Cistern3500010000Pre-developed Pasture Standard</v>
      </c>
    </row>
    <row r="287" spans="1:11" x14ac:dyDescent="0.25">
      <c r="A287" s="35" t="s">
        <v>42</v>
      </c>
      <c r="C287" s="35">
        <v>3</v>
      </c>
      <c r="E287" s="36">
        <v>0</v>
      </c>
      <c r="F287" s="36">
        <v>2000</v>
      </c>
      <c r="G287" s="36" t="s">
        <v>82</v>
      </c>
      <c r="H287" s="42">
        <v>5.8999999999999997E-2</v>
      </c>
      <c r="I287" s="42">
        <v>0</v>
      </c>
      <c r="J287" s="37" t="s">
        <v>129</v>
      </c>
      <c r="K287" s="35" t="str">
        <f t="shared" si="7"/>
        <v>Detention Cistern302000Peak Control Standard</v>
      </c>
    </row>
    <row r="288" spans="1:11" x14ac:dyDescent="0.25">
      <c r="A288" s="35" t="s">
        <v>42</v>
      </c>
      <c r="C288" s="35">
        <v>3</v>
      </c>
      <c r="E288" s="36">
        <v>2000</v>
      </c>
      <c r="F288" s="36">
        <v>3500</v>
      </c>
      <c r="G288" s="36" t="s">
        <v>82</v>
      </c>
      <c r="H288" s="42">
        <v>3.6000000000000002E-4</v>
      </c>
      <c r="I288" s="42">
        <v>1.68</v>
      </c>
      <c r="J288" s="37" t="s">
        <v>128</v>
      </c>
      <c r="K288" s="35" t="str">
        <f t="shared" si="7"/>
        <v>Detention Cistern320003500Peak Control Standard</v>
      </c>
    </row>
    <row r="289" spans="1:11" x14ac:dyDescent="0.25">
      <c r="A289" s="35" t="s">
        <v>42</v>
      </c>
      <c r="C289" s="35">
        <v>3</v>
      </c>
      <c r="E289" s="36">
        <v>3500</v>
      </c>
      <c r="F289" s="36">
        <v>5000</v>
      </c>
      <c r="G289" s="36" t="s">
        <v>82</v>
      </c>
      <c r="H289" s="42">
        <v>3.6000000000000002E-4</v>
      </c>
      <c r="I289" s="42">
        <v>1.68</v>
      </c>
      <c r="J289" s="37" t="s">
        <v>128</v>
      </c>
      <c r="K289" s="35" t="str">
        <f t="shared" si="7"/>
        <v>Detention Cistern335005000Peak Control Standard</v>
      </c>
    </row>
    <row r="290" spans="1:11" x14ac:dyDescent="0.25">
      <c r="A290" s="53" t="s">
        <v>42</v>
      </c>
      <c r="B290" s="53"/>
      <c r="C290" s="53">
        <v>3</v>
      </c>
      <c r="D290" s="53"/>
      <c r="E290" s="47">
        <v>5000</v>
      </c>
      <c r="F290" s="47">
        <v>10000</v>
      </c>
      <c r="G290" s="47" t="s">
        <v>82</v>
      </c>
      <c r="H290" s="49">
        <v>3.6000000000000002E-4</v>
      </c>
      <c r="I290" s="49">
        <v>1.68</v>
      </c>
      <c r="J290" s="53" t="s">
        <v>128</v>
      </c>
      <c r="K290" s="53" t="str">
        <f t="shared" si="7"/>
        <v>Detention Cistern3500010000Peak Control Standard</v>
      </c>
    </row>
    <row r="291" spans="1:11" x14ac:dyDescent="0.25">
      <c r="A291" s="35" t="s">
        <v>42</v>
      </c>
      <c r="C291" s="37">
        <v>4</v>
      </c>
      <c r="E291" s="36">
        <v>0</v>
      </c>
      <c r="F291" s="36">
        <v>2000</v>
      </c>
      <c r="G291" s="37" t="s">
        <v>9</v>
      </c>
      <c r="H291" s="42">
        <v>6.4000000000000001E-2</v>
      </c>
      <c r="I291" s="42">
        <v>0</v>
      </c>
      <c r="J291" s="37" t="s">
        <v>129</v>
      </c>
      <c r="K291" s="35" t="str">
        <f t="shared" si="7"/>
        <v>Detention Cistern402000Pre-developed Pasture Standard</v>
      </c>
    </row>
    <row r="292" spans="1:11" x14ac:dyDescent="0.25">
      <c r="A292" s="35" t="s">
        <v>42</v>
      </c>
      <c r="C292" s="37">
        <v>4</v>
      </c>
      <c r="E292" s="36">
        <v>2000</v>
      </c>
      <c r="F292" s="36">
        <v>5000</v>
      </c>
      <c r="G292" s="37" t="s">
        <v>9</v>
      </c>
      <c r="H292" s="42">
        <v>6.4000000000000001E-2</v>
      </c>
      <c r="I292" s="42">
        <v>0</v>
      </c>
      <c r="J292" s="37" t="s">
        <v>129</v>
      </c>
      <c r="K292" s="35" t="str">
        <f t="shared" si="7"/>
        <v>Detention Cistern420005000Pre-developed Pasture Standard</v>
      </c>
    </row>
    <row r="293" spans="1:11" x14ac:dyDescent="0.25">
      <c r="A293" s="35" t="s">
        <v>42</v>
      </c>
      <c r="C293" s="37">
        <v>4</v>
      </c>
      <c r="E293" s="36">
        <v>5000</v>
      </c>
      <c r="F293" s="36">
        <v>6000</v>
      </c>
      <c r="G293" s="37" t="s">
        <v>9</v>
      </c>
      <c r="H293" s="42">
        <v>0</v>
      </c>
      <c r="I293" s="42">
        <v>322</v>
      </c>
      <c r="J293" s="37" t="s">
        <v>129</v>
      </c>
      <c r="K293" s="35" t="str">
        <f t="shared" si="7"/>
        <v>Detention Cistern450006000Pre-developed Pasture Standard</v>
      </c>
    </row>
    <row r="294" spans="1:11" x14ac:dyDescent="0.25">
      <c r="A294" s="35" t="s">
        <v>42</v>
      </c>
      <c r="C294" s="37">
        <v>4</v>
      </c>
      <c r="E294" s="36">
        <v>6000</v>
      </c>
      <c r="F294" s="36">
        <v>10000</v>
      </c>
      <c r="G294" s="37" t="s">
        <v>9</v>
      </c>
      <c r="H294" s="42">
        <v>1E-4</v>
      </c>
      <c r="I294" s="42">
        <v>1.73</v>
      </c>
      <c r="J294" s="37" t="s">
        <v>128</v>
      </c>
      <c r="K294" s="35" t="str">
        <f t="shared" si="7"/>
        <v>Detention Cistern4600010000Pre-developed Pasture Standard</v>
      </c>
    </row>
    <row r="295" spans="1:11" x14ac:dyDescent="0.25">
      <c r="A295" s="35" t="s">
        <v>42</v>
      </c>
      <c r="C295" s="37">
        <v>4</v>
      </c>
      <c r="E295" s="36">
        <v>0</v>
      </c>
      <c r="F295" s="36">
        <v>2000</v>
      </c>
      <c r="G295" s="36" t="s">
        <v>82</v>
      </c>
      <c r="H295" s="42">
        <v>4.1000000000000002E-2</v>
      </c>
      <c r="I295" s="42">
        <v>0</v>
      </c>
      <c r="J295" s="37" t="s">
        <v>129</v>
      </c>
      <c r="K295" s="35" t="str">
        <f t="shared" si="7"/>
        <v>Detention Cistern402000Peak Control Standard</v>
      </c>
    </row>
    <row r="296" spans="1:11" x14ac:dyDescent="0.25">
      <c r="A296" s="35" t="s">
        <v>42</v>
      </c>
      <c r="C296" s="37">
        <v>4</v>
      </c>
      <c r="E296" s="36">
        <v>2000</v>
      </c>
      <c r="F296" s="36">
        <v>5000</v>
      </c>
      <c r="G296" s="36" t="s">
        <v>82</v>
      </c>
      <c r="H296" s="42">
        <v>3.8000000000000002E-4</v>
      </c>
      <c r="I296" s="42">
        <v>1.63</v>
      </c>
      <c r="J296" s="37" t="s">
        <v>128</v>
      </c>
      <c r="K296" s="35" t="str">
        <f t="shared" si="7"/>
        <v>Detention Cistern420005000Peak Control Standard</v>
      </c>
    </row>
    <row r="297" spans="1:11" x14ac:dyDescent="0.25">
      <c r="A297" s="35" t="s">
        <v>42</v>
      </c>
      <c r="C297" s="37">
        <v>4</v>
      </c>
      <c r="E297" s="36">
        <v>5000</v>
      </c>
      <c r="F297" s="36">
        <v>6000</v>
      </c>
      <c r="G297" s="36" t="s">
        <v>82</v>
      </c>
      <c r="H297" s="42">
        <v>3.8000000000000002E-4</v>
      </c>
      <c r="I297" s="42">
        <v>1.63</v>
      </c>
      <c r="J297" s="37" t="s">
        <v>128</v>
      </c>
      <c r="K297" s="35" t="str">
        <f t="shared" si="7"/>
        <v>Detention Cistern450006000Peak Control Standard</v>
      </c>
    </row>
    <row r="298" spans="1:11" x14ac:dyDescent="0.25">
      <c r="A298" s="53" t="s">
        <v>42</v>
      </c>
      <c r="B298" s="53"/>
      <c r="C298" s="67">
        <v>4</v>
      </c>
      <c r="D298" s="53"/>
      <c r="E298" s="47">
        <v>6000</v>
      </c>
      <c r="F298" s="47">
        <v>10000</v>
      </c>
      <c r="G298" s="47" t="s">
        <v>82</v>
      </c>
      <c r="H298" s="49">
        <v>3.8000000000000002E-4</v>
      </c>
      <c r="I298" s="49">
        <v>1.63</v>
      </c>
      <c r="J298" s="53" t="s">
        <v>128</v>
      </c>
      <c r="K298" s="53" t="str">
        <f t="shared" si="7"/>
        <v>Detention Cistern4600010000Peak Control Standard</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Calculator</vt:lpstr>
      <vt:lpstr>Lists</vt:lpstr>
      <vt:lpstr>Sizing Factors</vt:lpstr>
      <vt:lpstr>DrywellDepth</vt:lpstr>
      <vt:lpstr>FCStandard</vt:lpstr>
      <vt:lpstr>InfRate</vt:lpstr>
      <vt:lpstr>InfRateLarge</vt:lpstr>
      <vt:lpstr>InfTrenchDepth</vt:lpstr>
      <vt:lpstr>PipeDiameter</vt:lpstr>
      <vt:lpstr>Ponding</vt:lpstr>
      <vt:lpstr>PondingVert</vt:lpstr>
      <vt:lpstr>Project</vt:lpstr>
      <vt:lpstr>Sideslopes</vt:lpstr>
      <vt:lpstr>Standard</vt:lpstr>
      <vt:lpstr>VaultDepth</vt:lpstr>
      <vt:lpstr>YesNo</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DCI - Pre-Sized Flow Control Calculator</dc:title>
  <dc:creator>Kristen Matsumura</dc:creator>
  <cp:lastModifiedBy>sharkw</cp:lastModifiedBy>
  <cp:lastPrinted>2016-01-27T21:27:21Z</cp:lastPrinted>
  <dcterms:created xsi:type="dcterms:W3CDTF">2015-12-08T01:03:59Z</dcterms:created>
  <dcterms:modified xsi:type="dcterms:W3CDTF">2016-02-05T18:35:00Z</dcterms:modified>
</cp:coreProperties>
</file>